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worksheets/sheet6.xml" ContentType="application/vnd.openxmlformats-officedocument.spreadsheetml.worksheet+xml"/>
  <Override PartName="/xl/chartsheets/sheet2.xml" ContentType="application/vnd.openxmlformats-officedocument.spreadsheetml.chartsheet+xml"/>
  <Override PartName="/xl/worksheets/sheet7.xml" ContentType="application/vnd.openxmlformats-officedocument.spreadsheetml.worksheet+xml"/>
  <Override PartName="/xl/chartsheets/sheet3.xml" ContentType="application/vnd.openxmlformats-officedocument.spreadsheetml.chart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3335e420cc655e62/เดสก์ท็อป/งาน พข/งานหลักทำทุกเดือน/ตารางส่งให้ ศศ ก่อนแถลงข่าว/พ.ย. 68/ตารางสถิติ/"/>
    </mc:Choice>
  </mc:AlternateContent>
  <xr:revisionPtr revIDLastSave="457" documentId="8_{C85079C8-DDFF-4422-B469-17AC20887FAC}" xr6:coauthVersionLast="47" xr6:coauthVersionMax="47" xr10:uidLastSave="{A955823B-3025-4E08-A44A-ADCA04792088}"/>
  <bookViews>
    <workbookView xWindow="-108" yWindow="-108" windowWidth="23256" windowHeight="12456" tabRatio="801" firstSheet="1" activeTab="1" xr2:uid="{09C42BC8-65BF-4CF2-A797-CF7B546E50C1}"/>
  </bookViews>
  <sheets>
    <sheet name="trade (2)" sheetId="87" state="hidden" r:id="rId1"/>
    <sheet name="2.3 ตารางสถิติ ต.ค. 68 Export" sheetId="98" r:id="rId2"/>
    <sheet name="T3_data(t)" sheetId="99" state="hidden" r:id="rId3"/>
    <sheet name="T3_data(t-1)" sheetId="100" state="hidden" r:id="rId4"/>
    <sheet name="ประมาณ54US" sheetId="85" state="hidden" r:id="rId5"/>
    <sheet name="Chart3" sheetId="80" state="hidden" r:id="rId6"/>
    <sheet name="Sheet2" sheetId="79" state="hidden" r:id="rId7"/>
    <sheet name="xmm4954" sheetId="84" state="hidden" r:id="rId8"/>
    <sheet name="Gtrade47" sheetId="67" state="hidden" r:id="rId9"/>
    <sheet name="Chart1" sheetId="77" state="hidden" r:id="rId10"/>
    <sheet name="trade g" sheetId="66" state="hidden" r:id="rId11"/>
    <sheet name="Sheet1" sheetId="41" state="hidden" r:id="rId12"/>
    <sheet name="ประมาณ5455US" sheetId="86" state="hidden" r:id="rId13"/>
    <sheet name="ประมาณ54US_SEP" sheetId="69" state="hidden" r:id="rId14"/>
  </sheets>
  <definedNames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Map">"Map"</definedName>
    <definedName name="OHLC">"OHLC"</definedName>
    <definedName name="PieChart">"PieChart"</definedName>
    <definedName name="_xlnm.Print_Area" localSheetId="1">'2.3 ตารางสถิติ ต.ค. 68 Export'!$A$1:$N$78</definedName>
    <definedName name="_xlnm.Print_Area" localSheetId="0">'trade (2)'!$A$1:$BF$180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Waterfall">"Waterfall"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99" l="1"/>
  <c r="N3" i="99"/>
  <c r="M3" i="99"/>
  <c r="L3" i="99"/>
  <c r="J3" i="99"/>
  <c r="I3" i="99"/>
  <c r="H3" i="99"/>
  <c r="F3" i="99"/>
  <c r="E3" i="99"/>
  <c r="D3" i="99"/>
  <c r="C2" i="100" l="1"/>
  <c r="D2" i="100"/>
  <c r="E2" i="100"/>
  <c r="F2" i="100"/>
  <c r="G2" i="100"/>
  <c r="H2" i="100"/>
  <c r="I2" i="100"/>
  <c r="J2" i="100"/>
  <c r="K2" i="100"/>
  <c r="L2" i="100"/>
  <c r="M2" i="100"/>
  <c r="N2" i="100"/>
  <c r="B2" i="100"/>
  <c r="F8" i="98"/>
  <c r="D5" i="98" l="1"/>
  <c r="H4" i="98"/>
  <c r="Q4" i="98" s="1"/>
  <c r="C4" i="98"/>
  <c r="N3" i="100" l="1"/>
  <c r="M3" i="100"/>
  <c r="L3" i="100"/>
  <c r="K3" i="100"/>
  <c r="J3" i="100"/>
  <c r="I3" i="100"/>
  <c r="H3" i="100"/>
  <c r="G3" i="100"/>
  <c r="F3" i="100"/>
  <c r="E3" i="100"/>
  <c r="D3" i="100"/>
  <c r="C3" i="100"/>
  <c r="D4" i="98"/>
  <c r="H76" i="98" l="1"/>
  <c r="Q76" i="98" s="1"/>
  <c r="I76" i="98"/>
  <c r="R76" i="98" s="1"/>
  <c r="J76" i="98"/>
  <c r="S76" i="98" s="1"/>
  <c r="X9" i="98"/>
  <c r="X10" i="98" l="1"/>
  <c r="B3" i="100"/>
  <c r="X11" i="98" l="1"/>
  <c r="N3" i="98" l="1"/>
  <c r="W3" i="98" s="1"/>
  <c r="M3" i="98"/>
  <c r="V3" i="98" s="1"/>
  <c r="L3" i="98"/>
  <c r="U3" i="98" s="1"/>
  <c r="K3" i="98"/>
  <c r="T3" i="98" s="1"/>
  <c r="J3" i="98"/>
  <c r="S3" i="98" s="1"/>
  <c r="I3" i="98"/>
  <c r="R3" i="98" s="1"/>
  <c r="H3" i="98"/>
  <c r="Q3" i="98" s="1"/>
  <c r="G3" i="98"/>
  <c r="P3" i="98" s="1"/>
  <c r="H32" i="98" l="1"/>
  <c r="Q32" i="98" s="1"/>
  <c r="I32" i="98"/>
  <c r="R32" i="98" s="1"/>
  <c r="J32" i="98"/>
  <c r="S32" i="98" s="1"/>
  <c r="H27" i="98"/>
  <c r="Q27" i="98" s="1"/>
  <c r="I27" i="98"/>
  <c r="R27" i="98" s="1"/>
  <c r="J27" i="98"/>
  <c r="S27" i="98" s="1"/>
  <c r="H24" i="98"/>
  <c r="Q24" i="98" s="1"/>
  <c r="I24" i="98"/>
  <c r="R24" i="98" s="1"/>
  <c r="J24" i="98"/>
  <c r="S24" i="98" s="1"/>
  <c r="H16" i="98"/>
  <c r="Q16" i="98" s="1"/>
  <c r="I16" i="98"/>
  <c r="R16" i="98" s="1"/>
  <c r="J16" i="98"/>
  <c r="S16" i="98" s="1"/>
  <c r="H13" i="98"/>
  <c r="Q13" i="98" s="1"/>
  <c r="I13" i="98"/>
  <c r="R13" i="98" s="1"/>
  <c r="J13" i="98"/>
  <c r="S13" i="98" s="1"/>
  <c r="H10" i="98"/>
  <c r="Q10" i="98" s="1"/>
  <c r="I10" i="98"/>
  <c r="R10" i="98" s="1"/>
  <c r="J10" i="98"/>
  <c r="S10" i="98" s="1"/>
  <c r="Y31" i="98"/>
  <c r="Z31" i="98"/>
  <c r="AA31" i="98"/>
  <c r="AB31" i="98"/>
  <c r="Y32" i="98"/>
  <c r="Z32" i="98"/>
  <c r="AA32" i="98"/>
  <c r="AB32" i="98"/>
  <c r="Y26" i="98"/>
  <c r="Z26" i="98"/>
  <c r="AA26" i="98"/>
  <c r="AB26" i="98"/>
  <c r="Y27" i="98"/>
  <c r="Z27" i="98"/>
  <c r="AA27" i="98"/>
  <c r="AB27" i="98"/>
  <c r="Y23" i="98"/>
  <c r="Z23" i="98"/>
  <c r="AA23" i="98"/>
  <c r="AB23" i="98"/>
  <c r="Y24" i="98"/>
  <c r="Z24" i="98"/>
  <c r="AA24" i="98"/>
  <c r="AB24" i="98"/>
  <c r="Y15" i="98"/>
  <c r="Z15" i="98"/>
  <c r="AA15" i="98"/>
  <c r="AB15" i="98"/>
  <c r="Y16" i="98"/>
  <c r="Z16" i="98"/>
  <c r="AA16" i="98"/>
  <c r="AB16" i="98"/>
  <c r="Y12" i="98"/>
  <c r="Z12" i="98"/>
  <c r="AA12" i="98"/>
  <c r="AB12" i="98"/>
  <c r="Y13" i="98"/>
  <c r="Z13" i="98"/>
  <c r="AA13" i="98"/>
  <c r="AB13" i="98"/>
  <c r="Y9" i="98"/>
  <c r="Z9" i="98"/>
  <c r="AA9" i="98"/>
  <c r="AB9" i="98"/>
  <c r="Y10" i="98"/>
  <c r="Z10" i="98"/>
  <c r="AA10" i="98"/>
  <c r="AB10" i="98"/>
  <c r="Z3" i="98"/>
  <c r="AA3" i="98"/>
  <c r="AB3" i="98"/>
  <c r="Z4" i="98"/>
  <c r="AA4" i="98"/>
  <c r="AB4" i="98"/>
  <c r="Y3" i="98"/>
  <c r="Y4" i="98"/>
  <c r="N76" i="98"/>
  <c r="W76" i="98" s="1"/>
  <c r="G36" i="98"/>
  <c r="P36" i="98" s="1"/>
  <c r="H36" i="98"/>
  <c r="Q36" i="98" s="1"/>
  <c r="I36" i="98"/>
  <c r="R36" i="98" s="1"/>
  <c r="J36" i="98"/>
  <c r="S36" i="98" s="1"/>
  <c r="K36" i="98"/>
  <c r="T36" i="98" s="1"/>
  <c r="L36" i="98"/>
  <c r="U36" i="98" s="1"/>
  <c r="M36" i="98"/>
  <c r="V36" i="98" s="1"/>
  <c r="N36" i="98"/>
  <c r="W36" i="98" s="1"/>
  <c r="G37" i="98"/>
  <c r="P37" i="98" s="1"/>
  <c r="H37" i="98"/>
  <c r="Q37" i="98" s="1"/>
  <c r="I37" i="98"/>
  <c r="R37" i="98" s="1"/>
  <c r="J37" i="98"/>
  <c r="S37" i="98" s="1"/>
  <c r="K37" i="98"/>
  <c r="T37" i="98" s="1"/>
  <c r="L37" i="98"/>
  <c r="U37" i="98" s="1"/>
  <c r="M37" i="98"/>
  <c r="V37" i="98" s="1"/>
  <c r="N37" i="98"/>
  <c r="W37" i="98" s="1"/>
  <c r="G38" i="98"/>
  <c r="P38" i="98" s="1"/>
  <c r="H38" i="98"/>
  <c r="Q38" i="98" s="1"/>
  <c r="I38" i="98"/>
  <c r="R38" i="98" s="1"/>
  <c r="J38" i="98"/>
  <c r="S38" i="98" s="1"/>
  <c r="K38" i="98"/>
  <c r="T38" i="98" s="1"/>
  <c r="L38" i="98"/>
  <c r="U38" i="98" s="1"/>
  <c r="M38" i="98"/>
  <c r="V38" i="98" s="1"/>
  <c r="N38" i="98"/>
  <c r="W38" i="98" s="1"/>
  <c r="G39" i="98"/>
  <c r="P39" i="98" s="1"/>
  <c r="H39" i="98"/>
  <c r="Q39" i="98" s="1"/>
  <c r="I39" i="98"/>
  <c r="R39" i="98" s="1"/>
  <c r="J39" i="98"/>
  <c r="S39" i="98" s="1"/>
  <c r="K39" i="98"/>
  <c r="T39" i="98" s="1"/>
  <c r="L39" i="98"/>
  <c r="U39" i="98" s="1"/>
  <c r="M39" i="98"/>
  <c r="V39" i="98" s="1"/>
  <c r="N39" i="98"/>
  <c r="W39" i="98" s="1"/>
  <c r="G40" i="98"/>
  <c r="P40" i="98" s="1"/>
  <c r="H40" i="98"/>
  <c r="Q40" i="98" s="1"/>
  <c r="I40" i="98"/>
  <c r="R40" i="98" s="1"/>
  <c r="J40" i="98"/>
  <c r="S40" i="98" s="1"/>
  <c r="K40" i="98"/>
  <c r="T40" i="98" s="1"/>
  <c r="L40" i="98"/>
  <c r="U40" i="98" s="1"/>
  <c r="M40" i="98"/>
  <c r="V40" i="98" s="1"/>
  <c r="N40" i="98"/>
  <c r="W40" i="98" s="1"/>
  <c r="G41" i="98"/>
  <c r="P41" i="98" s="1"/>
  <c r="H41" i="98"/>
  <c r="Q41" i="98" s="1"/>
  <c r="I41" i="98"/>
  <c r="R41" i="98" s="1"/>
  <c r="J41" i="98"/>
  <c r="S41" i="98" s="1"/>
  <c r="K41" i="98"/>
  <c r="T41" i="98" s="1"/>
  <c r="L41" i="98"/>
  <c r="U41" i="98" s="1"/>
  <c r="M41" i="98"/>
  <c r="V41" i="98" s="1"/>
  <c r="N41" i="98"/>
  <c r="W41" i="98" s="1"/>
  <c r="G42" i="98"/>
  <c r="P42" i="98" s="1"/>
  <c r="H42" i="98"/>
  <c r="Q42" i="98" s="1"/>
  <c r="I42" i="98"/>
  <c r="R42" i="98" s="1"/>
  <c r="J42" i="98"/>
  <c r="S42" i="98" s="1"/>
  <c r="K42" i="98"/>
  <c r="T42" i="98" s="1"/>
  <c r="L42" i="98"/>
  <c r="U42" i="98" s="1"/>
  <c r="M42" i="98"/>
  <c r="V42" i="98" s="1"/>
  <c r="N42" i="98"/>
  <c r="W42" i="98" s="1"/>
  <c r="G43" i="98"/>
  <c r="P43" i="98" s="1"/>
  <c r="H43" i="98"/>
  <c r="Q43" i="98" s="1"/>
  <c r="I43" i="98"/>
  <c r="R43" i="98" s="1"/>
  <c r="J43" i="98"/>
  <c r="S43" i="98" s="1"/>
  <c r="K43" i="98"/>
  <c r="T43" i="98" s="1"/>
  <c r="L43" i="98"/>
  <c r="U43" i="98" s="1"/>
  <c r="M43" i="98"/>
  <c r="V43" i="98" s="1"/>
  <c r="N43" i="98"/>
  <c r="W43" i="98" s="1"/>
  <c r="G44" i="98"/>
  <c r="P44" i="98" s="1"/>
  <c r="H44" i="98"/>
  <c r="Q44" i="98" s="1"/>
  <c r="I44" i="98"/>
  <c r="R44" i="98" s="1"/>
  <c r="J44" i="98"/>
  <c r="S44" i="98" s="1"/>
  <c r="K44" i="98"/>
  <c r="T44" i="98" s="1"/>
  <c r="L44" i="98"/>
  <c r="U44" i="98" s="1"/>
  <c r="M44" i="98"/>
  <c r="V44" i="98" s="1"/>
  <c r="N44" i="98"/>
  <c r="W44" i="98" s="1"/>
  <c r="G45" i="98"/>
  <c r="P45" i="98" s="1"/>
  <c r="H45" i="98"/>
  <c r="Q45" i="98" s="1"/>
  <c r="I45" i="98"/>
  <c r="R45" i="98" s="1"/>
  <c r="J45" i="98"/>
  <c r="S45" i="98" s="1"/>
  <c r="K45" i="98"/>
  <c r="T45" i="98" s="1"/>
  <c r="L45" i="98"/>
  <c r="U45" i="98" s="1"/>
  <c r="M45" i="98"/>
  <c r="V45" i="98" s="1"/>
  <c r="N45" i="98"/>
  <c r="W45" i="98" s="1"/>
  <c r="G46" i="98"/>
  <c r="P46" i="98" s="1"/>
  <c r="H46" i="98"/>
  <c r="Q46" i="98" s="1"/>
  <c r="I46" i="98"/>
  <c r="R46" i="98" s="1"/>
  <c r="J46" i="98"/>
  <c r="S46" i="98" s="1"/>
  <c r="K46" i="98"/>
  <c r="T46" i="98" s="1"/>
  <c r="L46" i="98"/>
  <c r="U46" i="98" s="1"/>
  <c r="M46" i="98"/>
  <c r="V46" i="98" s="1"/>
  <c r="N46" i="98"/>
  <c r="W46" i="98" s="1"/>
  <c r="G47" i="98"/>
  <c r="P47" i="98" s="1"/>
  <c r="H47" i="98"/>
  <c r="Q47" i="98" s="1"/>
  <c r="I47" i="98"/>
  <c r="R47" i="98" s="1"/>
  <c r="J47" i="98"/>
  <c r="S47" i="98" s="1"/>
  <c r="K47" i="98"/>
  <c r="T47" i="98" s="1"/>
  <c r="L47" i="98"/>
  <c r="U47" i="98" s="1"/>
  <c r="M47" i="98"/>
  <c r="V47" i="98" s="1"/>
  <c r="N47" i="98"/>
  <c r="W47" i="98" s="1"/>
  <c r="G48" i="98"/>
  <c r="P48" i="98" s="1"/>
  <c r="H48" i="98"/>
  <c r="Q48" i="98" s="1"/>
  <c r="I48" i="98"/>
  <c r="R48" i="98" s="1"/>
  <c r="J48" i="98"/>
  <c r="S48" i="98" s="1"/>
  <c r="K48" i="98"/>
  <c r="T48" i="98" s="1"/>
  <c r="L48" i="98"/>
  <c r="U48" i="98" s="1"/>
  <c r="M48" i="98"/>
  <c r="V48" i="98" s="1"/>
  <c r="N48" i="98"/>
  <c r="W48" i="98" s="1"/>
  <c r="G49" i="98"/>
  <c r="P49" i="98" s="1"/>
  <c r="H49" i="98"/>
  <c r="Q49" i="98" s="1"/>
  <c r="I49" i="98"/>
  <c r="R49" i="98" s="1"/>
  <c r="J49" i="98"/>
  <c r="S49" i="98" s="1"/>
  <c r="K49" i="98"/>
  <c r="T49" i="98" s="1"/>
  <c r="L49" i="98"/>
  <c r="U49" i="98" s="1"/>
  <c r="M49" i="98"/>
  <c r="V49" i="98" s="1"/>
  <c r="N49" i="98"/>
  <c r="W49" i="98" s="1"/>
  <c r="G50" i="98"/>
  <c r="P50" i="98" s="1"/>
  <c r="H50" i="98"/>
  <c r="Q50" i="98" s="1"/>
  <c r="I50" i="98"/>
  <c r="R50" i="98" s="1"/>
  <c r="J50" i="98"/>
  <c r="S50" i="98" s="1"/>
  <c r="K50" i="98"/>
  <c r="T50" i="98" s="1"/>
  <c r="L50" i="98"/>
  <c r="U50" i="98" s="1"/>
  <c r="M50" i="98"/>
  <c r="V50" i="98" s="1"/>
  <c r="N50" i="98"/>
  <c r="W50" i="98" s="1"/>
  <c r="G51" i="98"/>
  <c r="P51" i="98" s="1"/>
  <c r="H51" i="98"/>
  <c r="Q51" i="98" s="1"/>
  <c r="I51" i="98"/>
  <c r="R51" i="98" s="1"/>
  <c r="J51" i="98"/>
  <c r="S51" i="98" s="1"/>
  <c r="K51" i="98"/>
  <c r="T51" i="98" s="1"/>
  <c r="L51" i="98"/>
  <c r="U51" i="98" s="1"/>
  <c r="M51" i="98"/>
  <c r="V51" i="98" s="1"/>
  <c r="N51" i="98"/>
  <c r="W51" i="98" s="1"/>
  <c r="G52" i="98"/>
  <c r="P52" i="98" s="1"/>
  <c r="H52" i="98"/>
  <c r="Q52" i="98" s="1"/>
  <c r="I52" i="98"/>
  <c r="R52" i="98" s="1"/>
  <c r="J52" i="98"/>
  <c r="S52" i="98" s="1"/>
  <c r="K52" i="98"/>
  <c r="T52" i="98" s="1"/>
  <c r="L52" i="98"/>
  <c r="U52" i="98" s="1"/>
  <c r="M52" i="98"/>
  <c r="V52" i="98" s="1"/>
  <c r="N52" i="98"/>
  <c r="W52" i="98" s="1"/>
  <c r="G53" i="98"/>
  <c r="P53" i="98" s="1"/>
  <c r="H53" i="98"/>
  <c r="Q53" i="98" s="1"/>
  <c r="I53" i="98"/>
  <c r="R53" i="98" s="1"/>
  <c r="J53" i="98"/>
  <c r="S53" i="98" s="1"/>
  <c r="K53" i="98"/>
  <c r="T53" i="98" s="1"/>
  <c r="L53" i="98"/>
  <c r="U53" i="98" s="1"/>
  <c r="M53" i="98"/>
  <c r="V53" i="98" s="1"/>
  <c r="N53" i="98"/>
  <c r="W53" i="98" s="1"/>
  <c r="G54" i="98"/>
  <c r="P54" i="98" s="1"/>
  <c r="H54" i="98"/>
  <c r="Q54" i="98" s="1"/>
  <c r="I54" i="98"/>
  <c r="R54" i="98" s="1"/>
  <c r="J54" i="98"/>
  <c r="S54" i="98" s="1"/>
  <c r="K54" i="98"/>
  <c r="T54" i="98" s="1"/>
  <c r="L54" i="98"/>
  <c r="U54" i="98" s="1"/>
  <c r="M54" i="98"/>
  <c r="V54" i="98" s="1"/>
  <c r="N54" i="98"/>
  <c r="W54" i="98" s="1"/>
  <c r="G55" i="98"/>
  <c r="P55" i="98" s="1"/>
  <c r="H55" i="98"/>
  <c r="Q55" i="98" s="1"/>
  <c r="I55" i="98"/>
  <c r="R55" i="98" s="1"/>
  <c r="J55" i="98"/>
  <c r="S55" i="98" s="1"/>
  <c r="K55" i="98"/>
  <c r="T55" i="98" s="1"/>
  <c r="L55" i="98"/>
  <c r="U55" i="98" s="1"/>
  <c r="M55" i="98"/>
  <c r="V55" i="98" s="1"/>
  <c r="N55" i="98"/>
  <c r="W55" i="98" s="1"/>
  <c r="G56" i="98"/>
  <c r="P56" i="98" s="1"/>
  <c r="H56" i="98"/>
  <c r="Q56" i="98" s="1"/>
  <c r="I56" i="98"/>
  <c r="R56" i="98" s="1"/>
  <c r="J56" i="98"/>
  <c r="S56" i="98" s="1"/>
  <c r="K56" i="98"/>
  <c r="T56" i="98" s="1"/>
  <c r="L56" i="98"/>
  <c r="U56" i="98" s="1"/>
  <c r="M56" i="98"/>
  <c r="V56" i="98" s="1"/>
  <c r="N56" i="98"/>
  <c r="W56" i="98" s="1"/>
  <c r="G57" i="98"/>
  <c r="P57" i="98" s="1"/>
  <c r="H57" i="98"/>
  <c r="Q57" i="98" s="1"/>
  <c r="I57" i="98"/>
  <c r="R57" i="98" s="1"/>
  <c r="J57" i="98"/>
  <c r="S57" i="98" s="1"/>
  <c r="K57" i="98"/>
  <c r="T57" i="98" s="1"/>
  <c r="L57" i="98"/>
  <c r="U57" i="98" s="1"/>
  <c r="M57" i="98"/>
  <c r="V57" i="98" s="1"/>
  <c r="N57" i="98"/>
  <c r="W57" i="98" s="1"/>
  <c r="G58" i="98"/>
  <c r="P58" i="98" s="1"/>
  <c r="H58" i="98"/>
  <c r="Q58" i="98" s="1"/>
  <c r="I58" i="98"/>
  <c r="R58" i="98" s="1"/>
  <c r="J58" i="98"/>
  <c r="S58" i="98" s="1"/>
  <c r="K58" i="98"/>
  <c r="T58" i="98" s="1"/>
  <c r="L58" i="98"/>
  <c r="U58" i="98" s="1"/>
  <c r="M58" i="98"/>
  <c r="V58" i="98" s="1"/>
  <c r="N58" i="98"/>
  <c r="W58" i="98" s="1"/>
  <c r="G59" i="98"/>
  <c r="P59" i="98" s="1"/>
  <c r="H59" i="98"/>
  <c r="Q59" i="98" s="1"/>
  <c r="I59" i="98"/>
  <c r="R59" i="98" s="1"/>
  <c r="J59" i="98"/>
  <c r="S59" i="98" s="1"/>
  <c r="K59" i="98"/>
  <c r="T59" i="98" s="1"/>
  <c r="L59" i="98"/>
  <c r="U59" i="98" s="1"/>
  <c r="M59" i="98"/>
  <c r="V59" i="98" s="1"/>
  <c r="N59" i="98"/>
  <c r="W59" i="98" s="1"/>
  <c r="G60" i="98"/>
  <c r="P60" i="98" s="1"/>
  <c r="H60" i="98"/>
  <c r="Q60" i="98" s="1"/>
  <c r="I60" i="98"/>
  <c r="R60" i="98" s="1"/>
  <c r="J60" i="98"/>
  <c r="S60" i="98" s="1"/>
  <c r="K60" i="98"/>
  <c r="T60" i="98" s="1"/>
  <c r="L60" i="98"/>
  <c r="U60" i="98" s="1"/>
  <c r="M60" i="98"/>
  <c r="V60" i="98" s="1"/>
  <c r="N60" i="98"/>
  <c r="W60" i="98" s="1"/>
  <c r="G61" i="98"/>
  <c r="P61" i="98" s="1"/>
  <c r="H61" i="98"/>
  <c r="Q61" i="98" s="1"/>
  <c r="I61" i="98"/>
  <c r="R61" i="98" s="1"/>
  <c r="J61" i="98"/>
  <c r="S61" i="98" s="1"/>
  <c r="K61" i="98"/>
  <c r="T61" i="98" s="1"/>
  <c r="L61" i="98"/>
  <c r="U61" i="98" s="1"/>
  <c r="M61" i="98"/>
  <c r="V61" i="98" s="1"/>
  <c r="N61" i="98"/>
  <c r="W61" i="98" s="1"/>
  <c r="G62" i="98"/>
  <c r="P62" i="98" s="1"/>
  <c r="H62" i="98"/>
  <c r="Q62" i="98" s="1"/>
  <c r="I62" i="98"/>
  <c r="R62" i="98" s="1"/>
  <c r="J62" i="98"/>
  <c r="S62" i="98" s="1"/>
  <c r="K62" i="98"/>
  <c r="T62" i="98" s="1"/>
  <c r="L62" i="98"/>
  <c r="U62" i="98" s="1"/>
  <c r="M62" i="98"/>
  <c r="V62" i="98" s="1"/>
  <c r="N62" i="98"/>
  <c r="W62" i="98" s="1"/>
  <c r="G63" i="98"/>
  <c r="P63" i="98" s="1"/>
  <c r="H63" i="98"/>
  <c r="Q63" i="98" s="1"/>
  <c r="I63" i="98"/>
  <c r="R63" i="98" s="1"/>
  <c r="J63" i="98"/>
  <c r="S63" i="98" s="1"/>
  <c r="K63" i="98"/>
  <c r="T63" i="98" s="1"/>
  <c r="L63" i="98"/>
  <c r="U63" i="98" s="1"/>
  <c r="M63" i="98"/>
  <c r="V63" i="98" s="1"/>
  <c r="N63" i="98"/>
  <c r="W63" i="98" s="1"/>
  <c r="G64" i="98"/>
  <c r="P64" i="98" s="1"/>
  <c r="H64" i="98"/>
  <c r="Q64" i="98" s="1"/>
  <c r="I64" i="98"/>
  <c r="R64" i="98" s="1"/>
  <c r="J64" i="98"/>
  <c r="S64" i="98" s="1"/>
  <c r="K64" i="98"/>
  <c r="T64" i="98" s="1"/>
  <c r="L64" i="98"/>
  <c r="U64" i="98" s="1"/>
  <c r="M64" i="98"/>
  <c r="V64" i="98" s="1"/>
  <c r="N64" i="98"/>
  <c r="W64" i="98" s="1"/>
  <c r="G65" i="98"/>
  <c r="P65" i="98" s="1"/>
  <c r="H65" i="98"/>
  <c r="Q65" i="98" s="1"/>
  <c r="I65" i="98"/>
  <c r="R65" i="98" s="1"/>
  <c r="J65" i="98"/>
  <c r="S65" i="98" s="1"/>
  <c r="K65" i="98"/>
  <c r="T65" i="98" s="1"/>
  <c r="L65" i="98"/>
  <c r="U65" i="98" s="1"/>
  <c r="M65" i="98"/>
  <c r="V65" i="98" s="1"/>
  <c r="N65" i="98"/>
  <c r="W65" i="98" s="1"/>
  <c r="G66" i="98"/>
  <c r="P66" i="98" s="1"/>
  <c r="H66" i="98"/>
  <c r="Q66" i="98" s="1"/>
  <c r="I66" i="98"/>
  <c r="R66" i="98" s="1"/>
  <c r="J66" i="98"/>
  <c r="S66" i="98" s="1"/>
  <c r="K66" i="98"/>
  <c r="T66" i="98" s="1"/>
  <c r="L66" i="98"/>
  <c r="U66" i="98" s="1"/>
  <c r="M66" i="98"/>
  <c r="V66" i="98" s="1"/>
  <c r="N66" i="98"/>
  <c r="W66" i="98" s="1"/>
  <c r="G67" i="98"/>
  <c r="P67" i="98" s="1"/>
  <c r="H67" i="98"/>
  <c r="Q67" i="98" s="1"/>
  <c r="I67" i="98"/>
  <c r="R67" i="98" s="1"/>
  <c r="J67" i="98"/>
  <c r="S67" i="98" s="1"/>
  <c r="K67" i="98"/>
  <c r="T67" i="98" s="1"/>
  <c r="L67" i="98"/>
  <c r="U67" i="98" s="1"/>
  <c r="M67" i="98"/>
  <c r="V67" i="98" s="1"/>
  <c r="N67" i="98"/>
  <c r="W67" i="98" s="1"/>
  <c r="G68" i="98"/>
  <c r="P68" i="98" s="1"/>
  <c r="H68" i="98"/>
  <c r="Q68" i="98" s="1"/>
  <c r="I68" i="98"/>
  <c r="R68" i="98" s="1"/>
  <c r="J68" i="98"/>
  <c r="S68" i="98" s="1"/>
  <c r="K68" i="98"/>
  <c r="T68" i="98" s="1"/>
  <c r="L68" i="98"/>
  <c r="U68" i="98" s="1"/>
  <c r="M68" i="98"/>
  <c r="V68" i="98" s="1"/>
  <c r="N68" i="98"/>
  <c r="W68" i="98" s="1"/>
  <c r="G69" i="98"/>
  <c r="P69" i="98" s="1"/>
  <c r="H69" i="98"/>
  <c r="Q69" i="98" s="1"/>
  <c r="I69" i="98"/>
  <c r="R69" i="98" s="1"/>
  <c r="J69" i="98"/>
  <c r="S69" i="98" s="1"/>
  <c r="K69" i="98"/>
  <c r="T69" i="98" s="1"/>
  <c r="L69" i="98"/>
  <c r="U69" i="98" s="1"/>
  <c r="M69" i="98"/>
  <c r="V69" i="98" s="1"/>
  <c r="N69" i="98"/>
  <c r="W69" i="98" s="1"/>
  <c r="G70" i="98"/>
  <c r="P70" i="98" s="1"/>
  <c r="H70" i="98"/>
  <c r="Q70" i="98" s="1"/>
  <c r="I70" i="98"/>
  <c r="R70" i="98" s="1"/>
  <c r="J70" i="98"/>
  <c r="S70" i="98" s="1"/>
  <c r="K70" i="98"/>
  <c r="T70" i="98" s="1"/>
  <c r="L70" i="98"/>
  <c r="U70" i="98" s="1"/>
  <c r="M70" i="98"/>
  <c r="V70" i="98" s="1"/>
  <c r="N70" i="98"/>
  <c r="W70" i="98" s="1"/>
  <c r="G71" i="98"/>
  <c r="P71" i="98" s="1"/>
  <c r="H71" i="98"/>
  <c r="Q71" i="98" s="1"/>
  <c r="I71" i="98"/>
  <c r="R71" i="98" s="1"/>
  <c r="J71" i="98"/>
  <c r="S71" i="98" s="1"/>
  <c r="K71" i="98"/>
  <c r="T71" i="98" s="1"/>
  <c r="L71" i="98"/>
  <c r="U71" i="98" s="1"/>
  <c r="M71" i="98"/>
  <c r="V71" i="98" s="1"/>
  <c r="N71" i="98"/>
  <c r="W71" i="98" s="1"/>
  <c r="G72" i="98"/>
  <c r="P72" i="98" s="1"/>
  <c r="H72" i="98"/>
  <c r="Q72" i="98" s="1"/>
  <c r="I72" i="98"/>
  <c r="R72" i="98" s="1"/>
  <c r="J72" i="98"/>
  <c r="S72" i="98" s="1"/>
  <c r="K72" i="98"/>
  <c r="T72" i="98" s="1"/>
  <c r="L72" i="98"/>
  <c r="U72" i="98" s="1"/>
  <c r="M72" i="98"/>
  <c r="V72" i="98" s="1"/>
  <c r="N72" i="98"/>
  <c r="W72" i="98" s="1"/>
  <c r="G73" i="98"/>
  <c r="P73" i="98" s="1"/>
  <c r="H73" i="98"/>
  <c r="Q73" i="98" s="1"/>
  <c r="I73" i="98"/>
  <c r="R73" i="98" s="1"/>
  <c r="J73" i="98"/>
  <c r="S73" i="98" s="1"/>
  <c r="K73" i="98"/>
  <c r="T73" i="98" s="1"/>
  <c r="L73" i="98"/>
  <c r="U73" i="98" s="1"/>
  <c r="M73" i="98"/>
  <c r="V73" i="98" s="1"/>
  <c r="N73" i="98"/>
  <c r="W73" i="98" s="1"/>
  <c r="G74" i="98"/>
  <c r="P74" i="98" s="1"/>
  <c r="H74" i="98"/>
  <c r="Q74" i="98" s="1"/>
  <c r="I74" i="98"/>
  <c r="R74" i="98" s="1"/>
  <c r="J74" i="98"/>
  <c r="S74" i="98" s="1"/>
  <c r="K74" i="98"/>
  <c r="T74" i="98" s="1"/>
  <c r="L74" i="98"/>
  <c r="U74" i="98" s="1"/>
  <c r="M74" i="98"/>
  <c r="V74" i="98" s="1"/>
  <c r="N74" i="98"/>
  <c r="W74" i="98" s="1"/>
  <c r="G75" i="98"/>
  <c r="P75" i="98" s="1"/>
  <c r="H75" i="98"/>
  <c r="Q75" i="98" s="1"/>
  <c r="I75" i="98"/>
  <c r="R75" i="98" s="1"/>
  <c r="J75" i="98"/>
  <c r="S75" i="98" s="1"/>
  <c r="K75" i="98"/>
  <c r="T75" i="98" s="1"/>
  <c r="L75" i="98"/>
  <c r="U75" i="98" s="1"/>
  <c r="M75" i="98"/>
  <c r="V75" i="98" s="1"/>
  <c r="N75" i="98"/>
  <c r="W75" i="98" s="1"/>
  <c r="N35" i="98"/>
  <c r="W35" i="98" s="1"/>
  <c r="M35" i="98"/>
  <c r="V35" i="98" s="1"/>
  <c r="L35" i="98"/>
  <c r="U35" i="98" s="1"/>
  <c r="K35" i="98"/>
  <c r="T35" i="98" s="1"/>
  <c r="J35" i="98"/>
  <c r="S35" i="98" s="1"/>
  <c r="I35" i="98"/>
  <c r="R35" i="98" s="1"/>
  <c r="H35" i="98"/>
  <c r="Q35" i="98" s="1"/>
  <c r="G35" i="98"/>
  <c r="P35" i="98" s="1"/>
  <c r="N34" i="98"/>
  <c r="W34" i="98" s="1"/>
  <c r="M34" i="98"/>
  <c r="V34" i="98" s="1"/>
  <c r="L34" i="98"/>
  <c r="U34" i="98" s="1"/>
  <c r="K34" i="98"/>
  <c r="T34" i="98" s="1"/>
  <c r="J34" i="98"/>
  <c r="S34" i="98" s="1"/>
  <c r="I34" i="98"/>
  <c r="H34" i="98"/>
  <c r="Q34" i="98" s="1"/>
  <c r="G34" i="98"/>
  <c r="P34" i="98" s="1"/>
  <c r="N31" i="98"/>
  <c r="W31" i="98" s="1"/>
  <c r="M31" i="98"/>
  <c r="V31" i="98" s="1"/>
  <c r="L31" i="98"/>
  <c r="U31" i="98" s="1"/>
  <c r="K31" i="98"/>
  <c r="T31" i="98" s="1"/>
  <c r="J31" i="98"/>
  <c r="S31" i="98" s="1"/>
  <c r="I31" i="98"/>
  <c r="R31" i="98" s="1"/>
  <c r="H31" i="98"/>
  <c r="Q31" i="98" s="1"/>
  <c r="G31" i="98"/>
  <c r="P31" i="98" s="1"/>
  <c r="N30" i="98"/>
  <c r="W30" i="98" s="1"/>
  <c r="M30" i="98"/>
  <c r="V30" i="98" s="1"/>
  <c r="L30" i="98"/>
  <c r="U30" i="98" s="1"/>
  <c r="K30" i="98"/>
  <c r="T30" i="98" s="1"/>
  <c r="J30" i="98"/>
  <c r="S30" i="98" s="1"/>
  <c r="I30" i="98"/>
  <c r="R30" i="98" s="1"/>
  <c r="H30" i="98"/>
  <c r="Q30" i="98" s="1"/>
  <c r="G30" i="98"/>
  <c r="P30" i="98" s="1"/>
  <c r="N29" i="98"/>
  <c r="W29" i="98" s="1"/>
  <c r="M29" i="98"/>
  <c r="V29" i="98" s="1"/>
  <c r="L29" i="98"/>
  <c r="U29" i="98" s="1"/>
  <c r="K29" i="98"/>
  <c r="T29" i="98" s="1"/>
  <c r="J29" i="98"/>
  <c r="S29" i="98" s="1"/>
  <c r="I29" i="98"/>
  <c r="R29" i="98" s="1"/>
  <c r="H29" i="98"/>
  <c r="Q29" i="98" s="1"/>
  <c r="G29" i="98"/>
  <c r="P29" i="98" s="1"/>
  <c r="N26" i="98"/>
  <c r="W26" i="98" s="1"/>
  <c r="M26" i="98"/>
  <c r="V26" i="98" s="1"/>
  <c r="L26" i="98"/>
  <c r="U26" i="98" s="1"/>
  <c r="K26" i="98"/>
  <c r="T26" i="98" s="1"/>
  <c r="J26" i="98"/>
  <c r="S26" i="98" s="1"/>
  <c r="I26" i="98"/>
  <c r="R26" i="98" s="1"/>
  <c r="H26" i="98"/>
  <c r="Q26" i="98" s="1"/>
  <c r="G26" i="98"/>
  <c r="P26" i="98" s="1"/>
  <c r="G19" i="98"/>
  <c r="P19" i="98" s="1"/>
  <c r="H19" i="98"/>
  <c r="Q19" i="98" s="1"/>
  <c r="I19" i="98"/>
  <c r="R19" i="98" s="1"/>
  <c r="J19" i="98"/>
  <c r="S19" i="98" s="1"/>
  <c r="K19" i="98"/>
  <c r="T19" i="98" s="1"/>
  <c r="L19" i="98"/>
  <c r="U19" i="98" s="1"/>
  <c r="M19" i="98"/>
  <c r="V19" i="98" s="1"/>
  <c r="N19" i="98"/>
  <c r="W19" i="98" s="1"/>
  <c r="G20" i="98"/>
  <c r="P20" i="98" s="1"/>
  <c r="H20" i="98"/>
  <c r="Q20" i="98" s="1"/>
  <c r="I20" i="98"/>
  <c r="R20" i="98" s="1"/>
  <c r="J20" i="98"/>
  <c r="S20" i="98" s="1"/>
  <c r="K20" i="98"/>
  <c r="T20" i="98" s="1"/>
  <c r="L20" i="98"/>
  <c r="U20" i="98" s="1"/>
  <c r="M20" i="98"/>
  <c r="V20" i="98" s="1"/>
  <c r="N20" i="98"/>
  <c r="W20" i="98" s="1"/>
  <c r="G21" i="98"/>
  <c r="P21" i="98" s="1"/>
  <c r="H21" i="98"/>
  <c r="Q21" i="98" s="1"/>
  <c r="I21" i="98"/>
  <c r="R21" i="98" s="1"/>
  <c r="J21" i="98"/>
  <c r="S21" i="98" s="1"/>
  <c r="K21" i="98"/>
  <c r="T21" i="98" s="1"/>
  <c r="L21" i="98"/>
  <c r="U21" i="98" s="1"/>
  <c r="M21" i="98"/>
  <c r="V21" i="98" s="1"/>
  <c r="N21" i="98"/>
  <c r="W21" i="98" s="1"/>
  <c r="G22" i="98"/>
  <c r="P22" i="98" s="1"/>
  <c r="H22" i="98"/>
  <c r="Q22" i="98" s="1"/>
  <c r="I22" i="98"/>
  <c r="R22" i="98" s="1"/>
  <c r="J22" i="98"/>
  <c r="S22" i="98" s="1"/>
  <c r="K22" i="98"/>
  <c r="T22" i="98" s="1"/>
  <c r="L22" i="98"/>
  <c r="U22" i="98" s="1"/>
  <c r="M22" i="98"/>
  <c r="V22" i="98" s="1"/>
  <c r="N22" i="98"/>
  <c r="W22" i="98" s="1"/>
  <c r="G23" i="98"/>
  <c r="P23" i="98" s="1"/>
  <c r="H23" i="98"/>
  <c r="Q23" i="98" s="1"/>
  <c r="I23" i="98"/>
  <c r="R23" i="98" s="1"/>
  <c r="J23" i="98"/>
  <c r="S23" i="98" s="1"/>
  <c r="K23" i="98"/>
  <c r="T23" i="98" s="1"/>
  <c r="L23" i="98"/>
  <c r="U23" i="98" s="1"/>
  <c r="M23" i="98"/>
  <c r="V23" i="98" s="1"/>
  <c r="N23" i="98"/>
  <c r="W23" i="98" s="1"/>
  <c r="N18" i="98"/>
  <c r="W18" i="98" s="1"/>
  <c r="M18" i="98"/>
  <c r="V18" i="98" s="1"/>
  <c r="L18" i="98"/>
  <c r="U18" i="98" s="1"/>
  <c r="K18" i="98"/>
  <c r="T18" i="98" s="1"/>
  <c r="J18" i="98"/>
  <c r="S18" i="98" s="1"/>
  <c r="I18" i="98"/>
  <c r="R18" i="98" s="1"/>
  <c r="H18" i="98"/>
  <c r="Q18" i="98" s="1"/>
  <c r="G18" i="98"/>
  <c r="P18" i="98" s="1"/>
  <c r="N15" i="98"/>
  <c r="W15" i="98" s="1"/>
  <c r="M15" i="98"/>
  <c r="V15" i="98" s="1"/>
  <c r="L15" i="98"/>
  <c r="U15" i="98" s="1"/>
  <c r="K15" i="98"/>
  <c r="T15" i="98" s="1"/>
  <c r="J15" i="98"/>
  <c r="S15" i="98" s="1"/>
  <c r="I15" i="98"/>
  <c r="R15" i="98" s="1"/>
  <c r="H15" i="98"/>
  <c r="Q15" i="98" s="1"/>
  <c r="G15" i="98"/>
  <c r="P15" i="98" s="1"/>
  <c r="N12" i="98"/>
  <c r="W12" i="98" s="1"/>
  <c r="M12" i="98"/>
  <c r="V12" i="98" s="1"/>
  <c r="L12" i="98"/>
  <c r="U12" i="98" s="1"/>
  <c r="K12" i="98"/>
  <c r="T12" i="98" s="1"/>
  <c r="J12" i="98"/>
  <c r="S12" i="98" s="1"/>
  <c r="I12" i="98"/>
  <c r="R12" i="98" s="1"/>
  <c r="H12" i="98"/>
  <c r="Q12" i="98" s="1"/>
  <c r="G12" i="98"/>
  <c r="P12" i="98" s="1"/>
  <c r="G8" i="98"/>
  <c r="P8" i="98" s="1"/>
  <c r="H8" i="98"/>
  <c r="Q8" i="98" s="1"/>
  <c r="I8" i="98"/>
  <c r="J8" i="98"/>
  <c r="S8" i="98" s="1"/>
  <c r="K8" i="98"/>
  <c r="T8" i="98" s="1"/>
  <c r="L8" i="98"/>
  <c r="U8" i="98" s="1"/>
  <c r="M8" i="98"/>
  <c r="V8" i="98" s="1"/>
  <c r="N8" i="98"/>
  <c r="W8" i="98" s="1"/>
  <c r="G9" i="98"/>
  <c r="P9" i="98" s="1"/>
  <c r="H9" i="98"/>
  <c r="Q9" i="98" s="1"/>
  <c r="I9" i="98"/>
  <c r="R9" i="98" s="1"/>
  <c r="J9" i="98"/>
  <c r="S9" i="98" s="1"/>
  <c r="K9" i="98"/>
  <c r="T9" i="98" s="1"/>
  <c r="L9" i="98"/>
  <c r="U9" i="98" s="1"/>
  <c r="M9" i="98"/>
  <c r="V9" i="98" s="1"/>
  <c r="N9" i="98"/>
  <c r="W9" i="98" s="1"/>
  <c r="N7" i="98"/>
  <c r="W7" i="98" s="1"/>
  <c r="N6" i="98"/>
  <c r="W6" i="98" s="1"/>
  <c r="N5" i="98"/>
  <c r="W5" i="98" s="1"/>
  <c r="C32" i="98"/>
  <c r="D32" i="98"/>
  <c r="E32" i="98"/>
  <c r="F32" i="98"/>
  <c r="C27" i="98"/>
  <c r="D27" i="98"/>
  <c r="E27" i="98"/>
  <c r="F27" i="98"/>
  <c r="C24" i="98"/>
  <c r="D24" i="98"/>
  <c r="E24" i="98"/>
  <c r="F24" i="98"/>
  <c r="C16" i="98"/>
  <c r="D16" i="98"/>
  <c r="E16" i="98"/>
  <c r="F16" i="98"/>
  <c r="C13" i="98"/>
  <c r="D13" i="98"/>
  <c r="E13" i="98"/>
  <c r="F13" i="98"/>
  <c r="C10" i="98"/>
  <c r="D10" i="98"/>
  <c r="E10" i="98"/>
  <c r="F10" i="98"/>
  <c r="F75" i="98"/>
  <c r="E75" i="98"/>
  <c r="D75" i="98"/>
  <c r="C75" i="98"/>
  <c r="B75" i="98"/>
  <c r="F74" i="98"/>
  <c r="E74" i="98"/>
  <c r="D74" i="98"/>
  <c r="C74" i="98"/>
  <c r="B74" i="98"/>
  <c r="F73" i="98"/>
  <c r="E73" i="98"/>
  <c r="D73" i="98"/>
  <c r="C73" i="98"/>
  <c r="B73" i="98"/>
  <c r="F72" i="98"/>
  <c r="E72" i="98"/>
  <c r="D72" i="98"/>
  <c r="C72" i="98"/>
  <c r="B72" i="98"/>
  <c r="F71" i="98"/>
  <c r="E71" i="98"/>
  <c r="D71" i="98"/>
  <c r="C71" i="98"/>
  <c r="B71" i="98"/>
  <c r="F70" i="98"/>
  <c r="E70" i="98"/>
  <c r="D70" i="98"/>
  <c r="C70" i="98"/>
  <c r="B70" i="98"/>
  <c r="F69" i="98"/>
  <c r="E69" i="98"/>
  <c r="D69" i="98"/>
  <c r="C69" i="98"/>
  <c r="B69" i="98"/>
  <c r="F68" i="98"/>
  <c r="E68" i="98"/>
  <c r="D68" i="98"/>
  <c r="C68" i="98"/>
  <c r="B68" i="98"/>
  <c r="F67" i="98"/>
  <c r="E67" i="98"/>
  <c r="D67" i="98"/>
  <c r="C67" i="98"/>
  <c r="B67" i="98"/>
  <c r="F66" i="98"/>
  <c r="E66" i="98"/>
  <c r="D66" i="98"/>
  <c r="C66" i="98"/>
  <c r="B66" i="98"/>
  <c r="F65" i="98"/>
  <c r="E65" i="98"/>
  <c r="D65" i="98"/>
  <c r="C65" i="98"/>
  <c r="B65" i="98"/>
  <c r="F64" i="98"/>
  <c r="E64" i="98"/>
  <c r="D64" i="98"/>
  <c r="C64" i="98"/>
  <c r="B64" i="98"/>
  <c r="F63" i="98"/>
  <c r="E63" i="98"/>
  <c r="D63" i="98"/>
  <c r="C63" i="98"/>
  <c r="B63" i="98"/>
  <c r="F62" i="98"/>
  <c r="E62" i="98"/>
  <c r="D62" i="98"/>
  <c r="C62" i="98"/>
  <c r="B62" i="98"/>
  <c r="F61" i="98"/>
  <c r="E61" i="98"/>
  <c r="D61" i="98"/>
  <c r="C61" i="98"/>
  <c r="B61" i="98"/>
  <c r="F60" i="98"/>
  <c r="E60" i="98"/>
  <c r="D60" i="98"/>
  <c r="C60" i="98"/>
  <c r="B60" i="98"/>
  <c r="F59" i="98"/>
  <c r="E59" i="98"/>
  <c r="D59" i="98"/>
  <c r="C59" i="98"/>
  <c r="B59" i="98"/>
  <c r="F58" i="98"/>
  <c r="E58" i="98"/>
  <c r="D58" i="98"/>
  <c r="C58" i="98"/>
  <c r="B58" i="98"/>
  <c r="F57" i="98"/>
  <c r="E57" i="98"/>
  <c r="D57" i="98"/>
  <c r="C57" i="98"/>
  <c r="B57" i="98"/>
  <c r="F56" i="98"/>
  <c r="E56" i="98"/>
  <c r="D56" i="98"/>
  <c r="C56" i="98"/>
  <c r="B56" i="98"/>
  <c r="F55" i="98"/>
  <c r="E55" i="98"/>
  <c r="D55" i="98"/>
  <c r="C55" i="98"/>
  <c r="B55" i="98"/>
  <c r="F54" i="98"/>
  <c r="E54" i="98"/>
  <c r="D54" i="98"/>
  <c r="C54" i="98"/>
  <c r="B54" i="98"/>
  <c r="F53" i="98"/>
  <c r="E53" i="98"/>
  <c r="D53" i="98"/>
  <c r="C53" i="98"/>
  <c r="B53" i="98"/>
  <c r="F52" i="98"/>
  <c r="E52" i="98"/>
  <c r="D52" i="98"/>
  <c r="C52" i="98"/>
  <c r="B52" i="98"/>
  <c r="F51" i="98"/>
  <c r="E51" i="98"/>
  <c r="D51" i="98"/>
  <c r="C51" i="98"/>
  <c r="B51" i="98"/>
  <c r="F50" i="98"/>
  <c r="E50" i="98"/>
  <c r="D50" i="98"/>
  <c r="C50" i="98"/>
  <c r="B50" i="98"/>
  <c r="F49" i="98"/>
  <c r="E49" i="98"/>
  <c r="D49" i="98"/>
  <c r="C49" i="98"/>
  <c r="B49" i="98"/>
  <c r="F48" i="98"/>
  <c r="E48" i="98"/>
  <c r="D48" i="98"/>
  <c r="C48" i="98"/>
  <c r="B48" i="98"/>
  <c r="F47" i="98"/>
  <c r="E47" i="98"/>
  <c r="D47" i="98"/>
  <c r="C47" i="98"/>
  <c r="B47" i="98"/>
  <c r="F46" i="98"/>
  <c r="E46" i="98"/>
  <c r="D46" i="98"/>
  <c r="C46" i="98"/>
  <c r="B46" i="98"/>
  <c r="F45" i="98"/>
  <c r="E45" i="98"/>
  <c r="D45" i="98"/>
  <c r="C45" i="98"/>
  <c r="B45" i="98"/>
  <c r="F44" i="98"/>
  <c r="E44" i="98"/>
  <c r="D44" i="98"/>
  <c r="C44" i="98"/>
  <c r="B44" i="98"/>
  <c r="F43" i="98"/>
  <c r="E43" i="98"/>
  <c r="D43" i="98"/>
  <c r="C43" i="98"/>
  <c r="B43" i="98"/>
  <c r="F42" i="98"/>
  <c r="E42" i="98"/>
  <c r="D42" i="98"/>
  <c r="C42" i="98"/>
  <c r="B42" i="98"/>
  <c r="F41" i="98"/>
  <c r="E41" i="98"/>
  <c r="D41" i="98"/>
  <c r="C41" i="98"/>
  <c r="B41" i="98"/>
  <c r="F40" i="98"/>
  <c r="E40" i="98"/>
  <c r="D40" i="98"/>
  <c r="C40" i="98"/>
  <c r="B40" i="98"/>
  <c r="F39" i="98"/>
  <c r="E39" i="98"/>
  <c r="D39" i="98"/>
  <c r="C39" i="98"/>
  <c r="B39" i="98"/>
  <c r="F38" i="98"/>
  <c r="E38" i="98"/>
  <c r="D38" i="98"/>
  <c r="C38" i="98"/>
  <c r="B38" i="98"/>
  <c r="F37" i="98"/>
  <c r="E37" i="98"/>
  <c r="D37" i="98"/>
  <c r="C37" i="98"/>
  <c r="B37" i="98"/>
  <c r="F36" i="98"/>
  <c r="E36" i="98"/>
  <c r="D36" i="98"/>
  <c r="C36" i="98"/>
  <c r="B36" i="98"/>
  <c r="F35" i="98"/>
  <c r="E35" i="98"/>
  <c r="D35" i="98"/>
  <c r="C35" i="98"/>
  <c r="B35" i="98"/>
  <c r="F34" i="98"/>
  <c r="E34" i="98"/>
  <c r="D34" i="98"/>
  <c r="C34" i="98"/>
  <c r="B34" i="98"/>
  <c r="F31" i="98"/>
  <c r="E31" i="98"/>
  <c r="D31" i="98"/>
  <c r="C31" i="98"/>
  <c r="B31" i="98"/>
  <c r="F30" i="98"/>
  <c r="E30" i="98"/>
  <c r="D30" i="98"/>
  <c r="C30" i="98"/>
  <c r="B30" i="98"/>
  <c r="F29" i="98"/>
  <c r="E29" i="98"/>
  <c r="D29" i="98"/>
  <c r="C29" i="98"/>
  <c r="B29" i="98"/>
  <c r="F26" i="98"/>
  <c r="E26" i="98"/>
  <c r="E28" i="98" s="1"/>
  <c r="D26" i="98"/>
  <c r="D28" i="98" s="1"/>
  <c r="C26" i="98"/>
  <c r="B26" i="98"/>
  <c r="F23" i="98"/>
  <c r="E23" i="98"/>
  <c r="D23" i="98"/>
  <c r="C23" i="98"/>
  <c r="B23" i="98"/>
  <c r="F22" i="98"/>
  <c r="E22" i="98"/>
  <c r="D22" i="98"/>
  <c r="C22" i="98"/>
  <c r="B22" i="98"/>
  <c r="F21" i="98"/>
  <c r="E21" i="98"/>
  <c r="D21" i="98"/>
  <c r="C21" i="98"/>
  <c r="B21" i="98"/>
  <c r="F20" i="98"/>
  <c r="E20" i="98"/>
  <c r="D20" i="98"/>
  <c r="C20" i="98"/>
  <c r="B20" i="98"/>
  <c r="F19" i="98"/>
  <c r="E19" i="98"/>
  <c r="D19" i="98"/>
  <c r="C19" i="98"/>
  <c r="B19" i="98"/>
  <c r="F18" i="98"/>
  <c r="E18" i="98"/>
  <c r="D18" i="98"/>
  <c r="C18" i="98"/>
  <c r="B18" i="98"/>
  <c r="F15" i="98"/>
  <c r="E15" i="98"/>
  <c r="D15" i="98"/>
  <c r="C15" i="98"/>
  <c r="B15" i="98"/>
  <c r="F12" i="98"/>
  <c r="E12" i="98"/>
  <c r="D12" i="98"/>
  <c r="C12" i="98"/>
  <c r="B12" i="98"/>
  <c r="F9" i="98"/>
  <c r="E9" i="98"/>
  <c r="D9" i="98"/>
  <c r="C9" i="98"/>
  <c r="B9" i="98"/>
  <c r="E8" i="98"/>
  <c r="D8" i="98"/>
  <c r="C8" i="98"/>
  <c r="B8" i="98"/>
  <c r="B6" i="98"/>
  <c r="C6" i="98"/>
  <c r="D6" i="98"/>
  <c r="E6" i="98"/>
  <c r="F6" i="98"/>
  <c r="B7" i="98"/>
  <c r="C7" i="98"/>
  <c r="D7" i="98"/>
  <c r="E7" i="98"/>
  <c r="F7" i="98"/>
  <c r="G76" i="98"/>
  <c r="P76" i="98" s="1"/>
  <c r="C5" i="98"/>
  <c r="E5" i="98"/>
  <c r="F5" i="98"/>
  <c r="M76" i="98"/>
  <c r="V76" i="98" s="1"/>
  <c r="L76" i="98"/>
  <c r="U76" i="98" s="1"/>
  <c r="K76" i="98"/>
  <c r="T76" i="98" s="1"/>
  <c r="G32" i="98"/>
  <c r="P32" i="98" s="1"/>
  <c r="G27" i="98"/>
  <c r="P27" i="98" s="1"/>
  <c r="G24" i="98"/>
  <c r="P24" i="98" s="1"/>
  <c r="G16" i="98"/>
  <c r="P16" i="98" s="1"/>
  <c r="G13" i="98"/>
  <c r="P13" i="98" s="1"/>
  <c r="G10" i="98"/>
  <c r="P10" i="98" s="1"/>
  <c r="M7" i="98"/>
  <c r="V7" i="98" s="1"/>
  <c r="L7" i="98"/>
  <c r="U7" i="98" s="1"/>
  <c r="K7" i="98"/>
  <c r="T7" i="98" s="1"/>
  <c r="J7" i="98"/>
  <c r="S7" i="98" s="1"/>
  <c r="I7" i="98"/>
  <c r="H7" i="98"/>
  <c r="Q7" i="98" s="1"/>
  <c r="G7" i="98"/>
  <c r="P7" i="98" s="1"/>
  <c r="M6" i="98"/>
  <c r="V6" i="98" s="1"/>
  <c r="L6" i="98"/>
  <c r="U6" i="98" s="1"/>
  <c r="K6" i="98"/>
  <c r="T6" i="98" s="1"/>
  <c r="J6" i="98"/>
  <c r="S6" i="98" s="1"/>
  <c r="I6" i="98"/>
  <c r="R6" i="98" s="1"/>
  <c r="H6" i="98"/>
  <c r="Q6" i="98" s="1"/>
  <c r="G6" i="98"/>
  <c r="P6" i="98" s="1"/>
  <c r="M5" i="98"/>
  <c r="V5" i="98" s="1"/>
  <c r="L5" i="98"/>
  <c r="U5" i="98" s="1"/>
  <c r="K5" i="98"/>
  <c r="T5" i="98" s="1"/>
  <c r="J5" i="98"/>
  <c r="S5" i="98" s="1"/>
  <c r="I5" i="98"/>
  <c r="H5" i="98"/>
  <c r="Q5" i="98" s="1"/>
  <c r="G5" i="98"/>
  <c r="P5" i="98" s="1"/>
  <c r="F76" i="98"/>
  <c r="C76" i="98"/>
  <c r="E4" i="98"/>
  <c r="F4" i="98"/>
  <c r="G4" i="98"/>
  <c r="P4" i="98" s="1"/>
  <c r="I4" i="98"/>
  <c r="R4" i="98" s="1"/>
  <c r="J4" i="98"/>
  <c r="S4" i="98" s="1"/>
  <c r="K4" i="98"/>
  <c r="T4" i="98" s="1"/>
  <c r="L4" i="98"/>
  <c r="U4" i="98" s="1"/>
  <c r="M4" i="98"/>
  <c r="V4" i="98" s="1"/>
  <c r="N4" i="98"/>
  <c r="W4" i="98" s="1"/>
  <c r="B5" i="98"/>
  <c r="B10" i="98"/>
  <c r="B13" i="98"/>
  <c r="B16" i="98"/>
  <c r="B24" i="98"/>
  <c r="B27" i="98"/>
  <c r="B32" i="98"/>
  <c r="B76" i="98"/>
  <c r="D76" i="98"/>
  <c r="E76" i="98"/>
  <c r="E17" i="98" l="1"/>
  <c r="E14" i="98"/>
  <c r="E11" i="98"/>
  <c r="E33" i="98"/>
  <c r="C33" i="98"/>
  <c r="C11" i="98"/>
  <c r="D11" i="98"/>
  <c r="C17" i="98"/>
  <c r="R7" i="98"/>
  <c r="R5" i="98"/>
  <c r="R8" i="98"/>
  <c r="R34" i="98"/>
  <c r="U80" i="98"/>
  <c r="T80" i="98"/>
  <c r="W80" i="98"/>
  <c r="V80" i="98"/>
  <c r="Z14" i="98"/>
  <c r="Z25" i="98"/>
  <c r="AB14" i="98"/>
  <c r="AB25" i="98"/>
  <c r="AB33" i="98"/>
  <c r="AA11" i="98"/>
  <c r="AA17" i="98"/>
  <c r="I17" i="98" s="1"/>
  <c r="R17" i="98" s="1"/>
  <c r="AA28" i="98"/>
  <c r="I28" i="98" s="1"/>
  <c r="R28" i="98" s="1"/>
  <c r="Z33" i="98"/>
  <c r="Y14" i="98"/>
  <c r="Y25" i="98"/>
  <c r="B11" i="98"/>
  <c r="B14" i="98"/>
  <c r="Y11" i="98"/>
  <c r="Y17" i="98"/>
  <c r="Y28" i="98"/>
  <c r="AA14" i="98"/>
  <c r="AA25" i="98"/>
  <c r="AA33" i="98"/>
  <c r="AB11" i="98"/>
  <c r="AB28" i="98"/>
  <c r="Z11" i="98"/>
  <c r="Z17" i="98"/>
  <c r="Z28" i="98"/>
  <c r="H28" i="98" s="1"/>
  <c r="Q28" i="98" s="1"/>
  <c r="AB17" i="98"/>
  <c r="Y33" i="98"/>
  <c r="F33" i="98"/>
  <c r="F14" i="98"/>
  <c r="F28" i="98"/>
  <c r="E25" i="98"/>
  <c r="F11" i="98"/>
  <c r="F25" i="98"/>
  <c r="F17" i="98"/>
  <c r="B17" i="98"/>
  <c r="D25" i="98"/>
  <c r="D14" i="98"/>
  <c r="D33" i="98"/>
  <c r="B25" i="98"/>
  <c r="B33" i="98"/>
  <c r="B28" i="98"/>
  <c r="D17" i="98"/>
  <c r="C14" i="98"/>
  <c r="C25" i="98"/>
  <c r="C28" i="98"/>
  <c r="D80" i="98"/>
  <c r="I14" i="98" l="1"/>
  <c r="R14" i="98" s="1"/>
  <c r="I11" i="98"/>
  <c r="R11" i="98" s="1"/>
  <c r="I33" i="98"/>
  <c r="R33" i="98" s="1"/>
  <c r="H11" i="98"/>
  <c r="Q11" i="98" s="1"/>
  <c r="H25" i="98"/>
  <c r="Q25" i="98" s="1"/>
  <c r="J17" i="98"/>
  <c r="S17" i="98" s="1"/>
  <c r="J25" i="98"/>
  <c r="S25" i="98" s="1"/>
  <c r="J11" i="98"/>
  <c r="S11" i="98" s="1"/>
  <c r="H14" i="98"/>
  <c r="Q14" i="98" s="1"/>
  <c r="J14" i="98"/>
  <c r="S14" i="98" s="1"/>
  <c r="J28" i="98"/>
  <c r="S28" i="98" s="1"/>
  <c r="J33" i="98"/>
  <c r="S33" i="98" s="1"/>
  <c r="H33" i="98"/>
  <c r="Q33" i="98" s="1"/>
  <c r="H17" i="98"/>
  <c r="Q17" i="98" s="1"/>
  <c r="I25" i="98"/>
  <c r="R25" i="98" s="1"/>
  <c r="X32" i="98" l="1"/>
  <c r="X31" i="98"/>
  <c r="X27" i="98"/>
  <c r="X26" i="98"/>
  <c r="X24" i="98"/>
  <c r="X23" i="98"/>
  <c r="X16" i="98"/>
  <c r="X15" i="98"/>
  <c r="X13" i="98"/>
  <c r="X12" i="98"/>
  <c r="X4" i="98"/>
  <c r="X3" i="98"/>
  <c r="V30" i="87"/>
  <c r="U30" i="87"/>
  <c r="U120" i="87"/>
  <c r="BH120" i="87" s="1"/>
  <c r="V120" i="87"/>
  <c r="BF120" i="87" s="1"/>
  <c r="U177" i="87"/>
  <c r="T177" i="87"/>
  <c r="S177" i="87"/>
  <c r="R177" i="87"/>
  <c r="Q177" i="87"/>
  <c r="P177" i="87"/>
  <c r="O177" i="87"/>
  <c r="N177" i="87"/>
  <c r="M177" i="87"/>
  <c r="L177" i="87"/>
  <c r="K177" i="87"/>
  <c r="J177" i="87"/>
  <c r="AE177" i="87" s="1"/>
  <c r="I177" i="87"/>
  <c r="H177" i="87"/>
  <c r="G177" i="87"/>
  <c r="F177" i="87"/>
  <c r="E177" i="87"/>
  <c r="D177" i="87"/>
  <c r="C177" i="87"/>
  <c r="B177" i="87"/>
  <c r="U175" i="87"/>
  <c r="T175" i="87"/>
  <c r="S175" i="87"/>
  <c r="R175" i="87"/>
  <c r="Q175" i="87"/>
  <c r="P175" i="87"/>
  <c r="O175" i="87"/>
  <c r="N175" i="87"/>
  <c r="M175" i="87"/>
  <c r="L175" i="87"/>
  <c r="K175" i="87"/>
  <c r="J175" i="87"/>
  <c r="I175" i="87"/>
  <c r="H175" i="87"/>
  <c r="H178" i="87" s="1"/>
  <c r="G175" i="87"/>
  <c r="F175" i="87"/>
  <c r="E175" i="87"/>
  <c r="D175" i="87"/>
  <c r="Z175" i="87" s="1"/>
  <c r="C175" i="87"/>
  <c r="B175" i="87"/>
  <c r="U173" i="87"/>
  <c r="T173" i="87"/>
  <c r="T178" i="87" s="1"/>
  <c r="S173" i="87"/>
  <c r="R173" i="87"/>
  <c r="Q173" i="87"/>
  <c r="P173" i="87"/>
  <c r="O173" i="87"/>
  <c r="N173" i="87"/>
  <c r="M173" i="87"/>
  <c r="L173" i="87"/>
  <c r="K173" i="87"/>
  <c r="J173" i="87"/>
  <c r="AE173" i="87" s="1"/>
  <c r="I173" i="87"/>
  <c r="H173" i="87"/>
  <c r="G173" i="87"/>
  <c r="F173" i="87"/>
  <c r="E173" i="87"/>
  <c r="D173" i="87"/>
  <c r="D178" i="87" s="1"/>
  <c r="C173" i="87"/>
  <c r="B173" i="87"/>
  <c r="U170" i="87"/>
  <c r="T170" i="87"/>
  <c r="S170" i="87"/>
  <c r="R170" i="87"/>
  <c r="Q170" i="87"/>
  <c r="P170" i="87"/>
  <c r="O170" i="87"/>
  <c r="N170" i="87"/>
  <c r="M170" i="87"/>
  <c r="L170" i="87"/>
  <c r="AH170" i="87" s="1"/>
  <c r="K170" i="87"/>
  <c r="J170" i="87"/>
  <c r="I170" i="87"/>
  <c r="H170" i="87"/>
  <c r="G170" i="87"/>
  <c r="F170" i="87"/>
  <c r="E170" i="87"/>
  <c r="D170" i="87"/>
  <c r="C170" i="87"/>
  <c r="B170" i="87"/>
  <c r="V168" i="87"/>
  <c r="U168" i="87"/>
  <c r="T168" i="87"/>
  <c r="S168" i="87"/>
  <c r="R168" i="87"/>
  <c r="Q168" i="87"/>
  <c r="P168" i="87"/>
  <c r="O168" i="87"/>
  <c r="N168" i="87"/>
  <c r="M168" i="87"/>
  <c r="L168" i="87"/>
  <c r="K168" i="87"/>
  <c r="AF168" i="87" s="1"/>
  <c r="J168" i="87"/>
  <c r="I168" i="87"/>
  <c r="H168" i="87"/>
  <c r="G168" i="87"/>
  <c r="F168" i="87"/>
  <c r="E168" i="87"/>
  <c r="D168" i="87"/>
  <c r="C168" i="87"/>
  <c r="B168" i="87"/>
  <c r="V166" i="87"/>
  <c r="U166" i="87"/>
  <c r="T166" i="87"/>
  <c r="S166" i="87"/>
  <c r="R166" i="87"/>
  <c r="Q166" i="87"/>
  <c r="Q171" i="87" s="1"/>
  <c r="P166" i="87"/>
  <c r="P171" i="87" s="1"/>
  <c r="O166" i="87"/>
  <c r="N166" i="87"/>
  <c r="M166" i="87"/>
  <c r="L166" i="87"/>
  <c r="K166" i="87"/>
  <c r="J166" i="87"/>
  <c r="I166" i="87"/>
  <c r="I171" i="87" s="1"/>
  <c r="H166" i="87"/>
  <c r="AC166" i="87" s="1"/>
  <c r="G166" i="87"/>
  <c r="F166" i="87"/>
  <c r="E166" i="87"/>
  <c r="D166" i="87"/>
  <c r="C166" i="87"/>
  <c r="B166" i="87"/>
  <c r="V163" i="87"/>
  <c r="U163" i="87"/>
  <c r="T163" i="87"/>
  <c r="S163" i="87"/>
  <c r="R163" i="87"/>
  <c r="Q163" i="87"/>
  <c r="P163" i="87"/>
  <c r="O163" i="87"/>
  <c r="N163" i="87"/>
  <c r="M163" i="87"/>
  <c r="L163" i="87"/>
  <c r="K163" i="87"/>
  <c r="AG163" i="87" s="1"/>
  <c r="J163" i="87"/>
  <c r="I163" i="87"/>
  <c r="H163" i="87"/>
  <c r="G163" i="87"/>
  <c r="F163" i="87"/>
  <c r="E163" i="87"/>
  <c r="D163" i="87"/>
  <c r="C163" i="87"/>
  <c r="B163" i="87"/>
  <c r="V161" i="87"/>
  <c r="U161" i="87"/>
  <c r="T161" i="87"/>
  <c r="S161" i="87"/>
  <c r="S164" i="87" s="1"/>
  <c r="R161" i="87"/>
  <c r="Q161" i="87"/>
  <c r="P161" i="87"/>
  <c r="O161" i="87"/>
  <c r="N161" i="87"/>
  <c r="M161" i="87"/>
  <c r="L161" i="87"/>
  <c r="K161" i="87"/>
  <c r="J161" i="87"/>
  <c r="AE161" i="87" s="1"/>
  <c r="I161" i="87"/>
  <c r="H161" i="87"/>
  <c r="G161" i="87"/>
  <c r="F161" i="87"/>
  <c r="E161" i="87"/>
  <c r="D161" i="87"/>
  <c r="C161" i="87"/>
  <c r="B161" i="87"/>
  <c r="V159" i="87"/>
  <c r="U159" i="87"/>
  <c r="T159" i="87"/>
  <c r="S159" i="87"/>
  <c r="R159" i="87"/>
  <c r="Q159" i="87"/>
  <c r="P159" i="87"/>
  <c r="O159" i="87"/>
  <c r="N159" i="87"/>
  <c r="M159" i="87"/>
  <c r="L159" i="87"/>
  <c r="K159" i="87"/>
  <c r="J159" i="87"/>
  <c r="I159" i="87"/>
  <c r="I164" i="87" s="1"/>
  <c r="H159" i="87"/>
  <c r="G159" i="87"/>
  <c r="F159" i="87"/>
  <c r="E159" i="87"/>
  <c r="D159" i="87"/>
  <c r="C159" i="87"/>
  <c r="B159" i="87"/>
  <c r="X159" i="87" s="1"/>
  <c r="V157" i="87"/>
  <c r="U157" i="87"/>
  <c r="T157" i="87"/>
  <c r="S157" i="87"/>
  <c r="R157" i="87"/>
  <c r="Q157" i="87"/>
  <c r="P157" i="87"/>
  <c r="O157" i="87"/>
  <c r="N157" i="87"/>
  <c r="M157" i="87"/>
  <c r="L157" i="87"/>
  <c r="K157" i="87"/>
  <c r="J157" i="87"/>
  <c r="I157" i="87"/>
  <c r="H157" i="87"/>
  <c r="G157" i="87"/>
  <c r="F157" i="87"/>
  <c r="E157" i="87"/>
  <c r="D157" i="87"/>
  <c r="C157" i="87"/>
  <c r="B157" i="87"/>
  <c r="V155" i="87"/>
  <c r="U155" i="87"/>
  <c r="T155" i="87"/>
  <c r="S155" i="87"/>
  <c r="R155" i="87"/>
  <c r="Q155" i="87"/>
  <c r="P155" i="87"/>
  <c r="O155" i="87"/>
  <c r="AK155" i="87" s="1"/>
  <c r="N155" i="87"/>
  <c r="M155" i="87"/>
  <c r="L155" i="87"/>
  <c r="K155" i="87"/>
  <c r="J155" i="87"/>
  <c r="I155" i="87"/>
  <c r="H155" i="87"/>
  <c r="G155" i="87"/>
  <c r="F155" i="87"/>
  <c r="E155" i="87"/>
  <c r="D155" i="87"/>
  <c r="C155" i="87"/>
  <c r="B155" i="87"/>
  <c r="V154" i="87"/>
  <c r="U154" i="87"/>
  <c r="T154" i="87"/>
  <c r="S154" i="87"/>
  <c r="R154" i="87"/>
  <c r="Q154" i="87"/>
  <c r="P154" i="87"/>
  <c r="O154" i="87"/>
  <c r="N154" i="87"/>
  <c r="M154" i="87"/>
  <c r="L154" i="87"/>
  <c r="K154" i="87"/>
  <c r="J154" i="87"/>
  <c r="I154" i="87"/>
  <c r="H154" i="87"/>
  <c r="G154" i="87"/>
  <c r="G158" i="87" s="1"/>
  <c r="F154" i="87"/>
  <c r="E154" i="87"/>
  <c r="D154" i="87"/>
  <c r="C154" i="87"/>
  <c r="B154" i="87"/>
  <c r="U148" i="87"/>
  <c r="T148" i="87"/>
  <c r="S148" i="87"/>
  <c r="R148" i="87"/>
  <c r="Q148" i="87"/>
  <c r="P148" i="87"/>
  <c r="AL148" i="87" s="1"/>
  <c r="O148" i="87"/>
  <c r="N148" i="87"/>
  <c r="M148" i="87"/>
  <c r="L148" i="87"/>
  <c r="K148" i="87"/>
  <c r="J148" i="87"/>
  <c r="AE148" i="87" s="1"/>
  <c r="I148" i="87"/>
  <c r="H148" i="87"/>
  <c r="G148" i="87"/>
  <c r="F148" i="87"/>
  <c r="E148" i="87"/>
  <c r="D148" i="87"/>
  <c r="C148" i="87"/>
  <c r="B148" i="87"/>
  <c r="BE147" i="87"/>
  <c r="BD147" i="87"/>
  <c r="BC147" i="87"/>
  <c r="BB147" i="87"/>
  <c r="AL147" i="87"/>
  <c r="AK147" i="87"/>
  <c r="AJ147" i="87"/>
  <c r="AI147" i="87"/>
  <c r="AH147" i="87"/>
  <c r="AG147" i="87"/>
  <c r="AF147" i="87"/>
  <c r="AE147" i="87"/>
  <c r="AD147" i="87"/>
  <c r="AC147" i="87"/>
  <c r="AB147" i="87"/>
  <c r="AA147" i="87"/>
  <c r="Z147" i="87"/>
  <c r="Y147" i="87"/>
  <c r="X147" i="87"/>
  <c r="BE145" i="87"/>
  <c r="BD145" i="87"/>
  <c r="BC145" i="87"/>
  <c r="BB145" i="87"/>
  <c r="AL145" i="87"/>
  <c r="AK145" i="87"/>
  <c r="AJ145" i="87"/>
  <c r="AI145" i="87"/>
  <c r="AH145" i="87"/>
  <c r="AG145" i="87"/>
  <c r="AF145" i="87"/>
  <c r="AE145" i="87"/>
  <c r="AD145" i="87"/>
  <c r="AC145" i="87"/>
  <c r="AB145" i="87"/>
  <c r="AA145" i="87"/>
  <c r="Z145" i="87"/>
  <c r="Y145" i="87"/>
  <c r="X145" i="87"/>
  <c r="BE143" i="87"/>
  <c r="BD143" i="87"/>
  <c r="BC143" i="87"/>
  <c r="BB143" i="87"/>
  <c r="AL143" i="87"/>
  <c r="AK143" i="87"/>
  <c r="AJ143" i="87"/>
  <c r="AI143" i="87"/>
  <c r="AH143" i="87"/>
  <c r="AG143" i="87"/>
  <c r="AF143" i="87"/>
  <c r="AE143" i="87"/>
  <c r="AD143" i="87"/>
  <c r="AC143" i="87"/>
  <c r="AB143" i="87"/>
  <c r="AA143" i="87"/>
  <c r="Z143" i="87"/>
  <c r="Y143" i="87"/>
  <c r="X143" i="87"/>
  <c r="U141" i="87"/>
  <c r="T141" i="87"/>
  <c r="S141" i="87"/>
  <c r="R141" i="87"/>
  <c r="Q141" i="87"/>
  <c r="P141" i="87"/>
  <c r="O141" i="87"/>
  <c r="AJ141" i="87" s="1"/>
  <c r="N141" i="87"/>
  <c r="M141" i="87"/>
  <c r="L141" i="87"/>
  <c r="K141" i="87"/>
  <c r="J141" i="87"/>
  <c r="I141" i="87"/>
  <c r="H141" i="87"/>
  <c r="H149" i="87" s="1"/>
  <c r="G141" i="87"/>
  <c r="F141" i="87"/>
  <c r="E141" i="87"/>
  <c r="D141" i="87"/>
  <c r="C141" i="87"/>
  <c r="B141" i="87"/>
  <c r="BE140" i="87"/>
  <c r="BD140" i="87"/>
  <c r="BC140" i="87"/>
  <c r="BB140" i="87"/>
  <c r="AL140" i="87"/>
  <c r="AK140" i="87"/>
  <c r="AJ140" i="87"/>
  <c r="AI140" i="87"/>
  <c r="AH140" i="87"/>
  <c r="AG140" i="87"/>
  <c r="AF140" i="87"/>
  <c r="AE140" i="87"/>
  <c r="AD140" i="87"/>
  <c r="AC140" i="87"/>
  <c r="AB140" i="87"/>
  <c r="AA140" i="87"/>
  <c r="Z140" i="87"/>
  <c r="Y140" i="87"/>
  <c r="X140" i="87"/>
  <c r="BF138" i="87"/>
  <c r="BE138" i="87"/>
  <c r="BD138" i="87"/>
  <c r="BC138" i="87"/>
  <c r="BB138" i="87"/>
  <c r="AL138" i="87"/>
  <c r="AK138" i="87"/>
  <c r="AJ138" i="87"/>
  <c r="AI138" i="87"/>
  <c r="AH138" i="87"/>
  <c r="AG138" i="87"/>
  <c r="AF138" i="87"/>
  <c r="AE138" i="87"/>
  <c r="AD138" i="87"/>
  <c r="AC138" i="87"/>
  <c r="AB138" i="87"/>
  <c r="AA138" i="87"/>
  <c r="Z138" i="87"/>
  <c r="Y138" i="87"/>
  <c r="X138" i="87"/>
  <c r="BF136" i="87"/>
  <c r="BE136" i="87"/>
  <c r="BD136" i="87"/>
  <c r="BC136" i="87"/>
  <c r="BB136" i="87"/>
  <c r="AL136" i="87"/>
  <c r="AK136" i="87"/>
  <c r="AJ136" i="87"/>
  <c r="AI136" i="87"/>
  <c r="AH136" i="87"/>
  <c r="AG136" i="87"/>
  <c r="AF136" i="87"/>
  <c r="AE136" i="87"/>
  <c r="AD136" i="87"/>
  <c r="AC136" i="87"/>
  <c r="AB136" i="87"/>
  <c r="AA136" i="87"/>
  <c r="Z136" i="87"/>
  <c r="Y136" i="87"/>
  <c r="X136" i="87"/>
  <c r="V134" i="87"/>
  <c r="U134" i="87"/>
  <c r="BF134" i="87" s="1"/>
  <c r="T134" i="87"/>
  <c r="S134" i="87"/>
  <c r="R134" i="87"/>
  <c r="Q134" i="87"/>
  <c r="P134" i="87"/>
  <c r="O134" i="87"/>
  <c r="N134" i="87"/>
  <c r="M134" i="87"/>
  <c r="L134" i="87"/>
  <c r="K134" i="87"/>
  <c r="J134" i="87"/>
  <c r="I134" i="87"/>
  <c r="H134" i="87"/>
  <c r="G134" i="87"/>
  <c r="F134" i="87"/>
  <c r="E134" i="87"/>
  <c r="D134" i="87"/>
  <c r="C134" i="87"/>
  <c r="B134" i="87"/>
  <c r="BF133" i="87"/>
  <c r="BE133" i="87"/>
  <c r="BD133" i="87"/>
  <c r="BC133" i="87"/>
  <c r="BB133" i="87"/>
  <c r="AL133" i="87"/>
  <c r="AK133" i="87"/>
  <c r="AJ133" i="87"/>
  <c r="AI133" i="87"/>
  <c r="AH133" i="87"/>
  <c r="AG133" i="87"/>
  <c r="AF133" i="87"/>
  <c r="AE133" i="87"/>
  <c r="AD133" i="87"/>
  <c r="AC133" i="87"/>
  <c r="AB133" i="87"/>
  <c r="AA133" i="87"/>
  <c r="Z133" i="87"/>
  <c r="Y133" i="87"/>
  <c r="X133" i="87"/>
  <c r="BF131" i="87"/>
  <c r="BE131" i="87"/>
  <c r="BD131" i="87"/>
  <c r="BC131" i="87"/>
  <c r="BB131" i="87"/>
  <c r="AL131" i="87"/>
  <c r="AK131" i="87"/>
  <c r="AJ131" i="87"/>
  <c r="AI131" i="87"/>
  <c r="AH131" i="87"/>
  <c r="AG131" i="87"/>
  <c r="AF131" i="87"/>
  <c r="AE131" i="87"/>
  <c r="AD131" i="87"/>
  <c r="AC131" i="87"/>
  <c r="AB131" i="87"/>
  <c r="AA131" i="87"/>
  <c r="Z131" i="87"/>
  <c r="Y131" i="87"/>
  <c r="X131" i="87"/>
  <c r="BF129" i="87"/>
  <c r="BE129" i="87"/>
  <c r="BD129" i="87"/>
  <c r="BC129" i="87"/>
  <c r="BB129" i="87"/>
  <c r="AL129" i="87"/>
  <c r="AK129" i="87"/>
  <c r="AJ129" i="87"/>
  <c r="AI129" i="87"/>
  <c r="AH129" i="87"/>
  <c r="AG129" i="87"/>
  <c r="AF129" i="87"/>
  <c r="AE129" i="87"/>
  <c r="AD129" i="87"/>
  <c r="AC129" i="87"/>
  <c r="AB129" i="87"/>
  <c r="AA129" i="87"/>
  <c r="Z129" i="87"/>
  <c r="Y129" i="87"/>
  <c r="X129" i="87"/>
  <c r="V128" i="87"/>
  <c r="V135" i="87" s="1"/>
  <c r="U128" i="87"/>
  <c r="T128" i="87"/>
  <c r="S128" i="87"/>
  <c r="R128" i="87"/>
  <c r="R132" i="87" s="1"/>
  <c r="Q128" i="87"/>
  <c r="Q130" i="87" s="1"/>
  <c r="P128" i="87"/>
  <c r="O128" i="87"/>
  <c r="N128" i="87"/>
  <c r="N132" i="87" s="1"/>
  <c r="M128" i="87"/>
  <c r="L128" i="87"/>
  <c r="L135" i="87"/>
  <c r="K128" i="87"/>
  <c r="J128" i="87"/>
  <c r="J130" i="87" s="1"/>
  <c r="I128" i="87"/>
  <c r="I135" i="87"/>
  <c r="H128" i="87"/>
  <c r="H135" i="87" s="1"/>
  <c r="G128" i="87"/>
  <c r="AC128" i="87" s="1"/>
  <c r="F128" i="87"/>
  <c r="F130" i="87" s="1"/>
  <c r="E128" i="87"/>
  <c r="E130" i="87" s="1"/>
  <c r="D128" i="87"/>
  <c r="C128" i="87"/>
  <c r="C132" i="87" s="1"/>
  <c r="X132" i="87" s="1"/>
  <c r="B128" i="87"/>
  <c r="B130" i="87"/>
  <c r="BF127" i="87"/>
  <c r="BE127" i="87"/>
  <c r="BD127" i="87"/>
  <c r="BC127" i="87"/>
  <c r="BB127" i="87"/>
  <c r="AL127" i="87"/>
  <c r="AK127" i="87"/>
  <c r="AJ127" i="87"/>
  <c r="AI127" i="87"/>
  <c r="AH127" i="87"/>
  <c r="AG127" i="87"/>
  <c r="AF127" i="87"/>
  <c r="AE127" i="87"/>
  <c r="AD127" i="87"/>
  <c r="AC127" i="87"/>
  <c r="AB127" i="87"/>
  <c r="AA127" i="87"/>
  <c r="Z127" i="87"/>
  <c r="Y127" i="87"/>
  <c r="X127" i="87"/>
  <c r="V126" i="87"/>
  <c r="U126" i="87"/>
  <c r="U156" i="87" s="1"/>
  <c r="T126" i="87"/>
  <c r="S126" i="87"/>
  <c r="R126" i="87"/>
  <c r="Q126" i="87"/>
  <c r="P126" i="87"/>
  <c r="O126" i="87"/>
  <c r="N126" i="87"/>
  <c r="M126" i="87"/>
  <c r="L126" i="87"/>
  <c r="K126" i="87"/>
  <c r="AG126" i="87" s="1"/>
  <c r="J126" i="87"/>
  <c r="I126" i="87"/>
  <c r="H126" i="87"/>
  <c r="G126" i="87"/>
  <c r="F126" i="87"/>
  <c r="E126" i="87"/>
  <c r="Z126" i="87" s="1"/>
  <c r="D126" i="87"/>
  <c r="C126" i="87"/>
  <c r="B126" i="87"/>
  <c r="BF125" i="87"/>
  <c r="BE125" i="87"/>
  <c r="BD125" i="87"/>
  <c r="BC125" i="87"/>
  <c r="BB125" i="87"/>
  <c r="AL125" i="87"/>
  <c r="AK125" i="87"/>
  <c r="AJ125" i="87"/>
  <c r="AI125" i="87"/>
  <c r="AH125" i="87"/>
  <c r="AG125" i="87"/>
  <c r="AF125" i="87"/>
  <c r="AE125" i="87"/>
  <c r="AD125" i="87"/>
  <c r="AC125" i="87"/>
  <c r="AB125" i="87"/>
  <c r="AA125" i="87"/>
  <c r="Z125" i="87"/>
  <c r="Y125" i="87"/>
  <c r="X125" i="87"/>
  <c r="BF124" i="87"/>
  <c r="BE124" i="87"/>
  <c r="BD124" i="87"/>
  <c r="BC124" i="87"/>
  <c r="BB124" i="87"/>
  <c r="AL124" i="87"/>
  <c r="AK124" i="87"/>
  <c r="AJ124" i="87"/>
  <c r="AI124" i="87"/>
  <c r="AH124" i="87"/>
  <c r="AG124" i="87"/>
  <c r="AF124" i="87"/>
  <c r="AE124" i="87"/>
  <c r="AD124" i="87"/>
  <c r="AC124" i="87"/>
  <c r="AB124" i="87"/>
  <c r="AA124" i="87"/>
  <c r="Z124" i="87"/>
  <c r="Y124" i="87"/>
  <c r="X124" i="87"/>
  <c r="AU120" i="87"/>
  <c r="AT120" i="87"/>
  <c r="AS120" i="87"/>
  <c r="AR120" i="87"/>
  <c r="AQ120" i="87"/>
  <c r="AP120" i="87"/>
  <c r="AO120" i="87"/>
  <c r="AN120" i="87"/>
  <c r="AE120" i="87"/>
  <c r="AD120" i="87"/>
  <c r="AC120" i="87"/>
  <c r="AB120" i="87"/>
  <c r="AA120" i="87"/>
  <c r="Z120" i="87"/>
  <c r="Y120" i="87"/>
  <c r="X120" i="87"/>
  <c r="T118" i="87"/>
  <c r="BE118" i="87"/>
  <c r="S118" i="87"/>
  <c r="R118" i="87"/>
  <c r="Q118" i="87"/>
  <c r="P118" i="87"/>
  <c r="O118" i="87"/>
  <c r="N118" i="87"/>
  <c r="M118" i="87"/>
  <c r="L118" i="87"/>
  <c r="K118" i="87"/>
  <c r="J118" i="87"/>
  <c r="I118" i="87"/>
  <c r="H118" i="87"/>
  <c r="G118" i="87"/>
  <c r="F118" i="87"/>
  <c r="E118" i="87"/>
  <c r="D118" i="87"/>
  <c r="C118" i="87"/>
  <c r="AN118" i="87" s="1"/>
  <c r="B118" i="87"/>
  <c r="BH117" i="87"/>
  <c r="BE117" i="87"/>
  <c r="BD117" i="87"/>
  <c r="BC117" i="87"/>
  <c r="BB117" i="87"/>
  <c r="AU117" i="87"/>
  <c r="AT117" i="87"/>
  <c r="AS117" i="87"/>
  <c r="AR117" i="87"/>
  <c r="AQ117" i="87"/>
  <c r="AP117" i="87"/>
  <c r="AO117" i="87"/>
  <c r="AN117" i="87"/>
  <c r="AL117" i="87"/>
  <c r="AK117" i="87"/>
  <c r="AJ117" i="87"/>
  <c r="AI117" i="87"/>
  <c r="AH117" i="87"/>
  <c r="AG117" i="87"/>
  <c r="AF117" i="87"/>
  <c r="AE117" i="87"/>
  <c r="AD117" i="87"/>
  <c r="AC117" i="87"/>
  <c r="AB117" i="87"/>
  <c r="AA117" i="87"/>
  <c r="Z117" i="87"/>
  <c r="Y117" i="87"/>
  <c r="X117" i="87"/>
  <c r="BH115" i="87"/>
  <c r="BI115" i="87" s="1"/>
  <c r="BE115" i="87"/>
  <c r="BD115" i="87"/>
  <c r="BC115" i="87"/>
  <c r="BB115" i="87"/>
  <c r="AU115" i="87"/>
  <c r="AT115" i="87"/>
  <c r="AS115" i="87"/>
  <c r="AR115" i="87"/>
  <c r="AQ115" i="87"/>
  <c r="AP115" i="87"/>
  <c r="AO115" i="87"/>
  <c r="AN115" i="87"/>
  <c r="AL115" i="87"/>
  <c r="AK115" i="87"/>
  <c r="AJ115" i="87"/>
  <c r="AI115" i="87"/>
  <c r="AH115" i="87"/>
  <c r="AG115" i="87"/>
  <c r="AF115" i="87"/>
  <c r="AE115" i="87"/>
  <c r="AD115" i="87"/>
  <c r="AC115" i="87"/>
  <c r="AB115" i="87"/>
  <c r="AA115" i="87"/>
  <c r="Z115" i="87"/>
  <c r="Y115" i="87"/>
  <c r="X115" i="87"/>
  <c r="BH113" i="87"/>
  <c r="BE113" i="87"/>
  <c r="BD113" i="87"/>
  <c r="BC113" i="87"/>
  <c r="BB113" i="87"/>
  <c r="AU113" i="87"/>
  <c r="AT113" i="87"/>
  <c r="AS113" i="87"/>
  <c r="AR113" i="87"/>
  <c r="AQ113" i="87"/>
  <c r="AP113" i="87"/>
  <c r="AO113" i="87"/>
  <c r="AN113" i="87"/>
  <c r="AL113" i="87"/>
  <c r="AK113" i="87"/>
  <c r="AJ113" i="87"/>
  <c r="AI113" i="87"/>
  <c r="AH113" i="87"/>
  <c r="AG113" i="87"/>
  <c r="AF113" i="87"/>
  <c r="AE113" i="87"/>
  <c r="AD113" i="87"/>
  <c r="AC113" i="87"/>
  <c r="AB113" i="87"/>
  <c r="AA113" i="87"/>
  <c r="Z113" i="87"/>
  <c r="Y113" i="87"/>
  <c r="X113" i="87"/>
  <c r="T111" i="87"/>
  <c r="S111" i="87"/>
  <c r="R111" i="87"/>
  <c r="Q111" i="87"/>
  <c r="P111" i="87"/>
  <c r="O111" i="87"/>
  <c r="N111" i="87"/>
  <c r="M111" i="87"/>
  <c r="L111" i="87"/>
  <c r="K111" i="87"/>
  <c r="J111" i="87"/>
  <c r="I111" i="87"/>
  <c r="AT111" i="87" s="1"/>
  <c r="H111" i="87"/>
  <c r="AS111" i="87"/>
  <c r="G111" i="87"/>
  <c r="F111" i="87"/>
  <c r="E111" i="87"/>
  <c r="AP111" i="87" s="1"/>
  <c r="D111" i="87"/>
  <c r="AO111" i="87" s="1"/>
  <c r="C111" i="87"/>
  <c r="B111" i="87"/>
  <c r="B116" i="87" s="1"/>
  <c r="BH110" i="87"/>
  <c r="BE110" i="87"/>
  <c r="BD110" i="87"/>
  <c r="BC110" i="87"/>
  <c r="BB110" i="87"/>
  <c r="AU110" i="87"/>
  <c r="AT110" i="87"/>
  <c r="AS110" i="87"/>
  <c r="AR110" i="87"/>
  <c r="AQ110" i="87"/>
  <c r="AP110" i="87"/>
  <c r="AO110" i="87"/>
  <c r="AN110" i="87"/>
  <c r="AL110" i="87"/>
  <c r="AK110" i="87"/>
  <c r="AJ110" i="87"/>
  <c r="AI110" i="87"/>
  <c r="AH110" i="87"/>
  <c r="AG110" i="87"/>
  <c r="AF110" i="87"/>
  <c r="AE110" i="87"/>
  <c r="AD110" i="87"/>
  <c r="AC110" i="87"/>
  <c r="AB110" i="87"/>
  <c r="AA110" i="87"/>
  <c r="Z110" i="87"/>
  <c r="Y110" i="87"/>
  <c r="X110" i="87"/>
  <c r="BK108" i="87"/>
  <c r="BJ108" i="87"/>
  <c r="BH108" i="87"/>
  <c r="BF108" i="87"/>
  <c r="BE108" i="87"/>
  <c r="BD108" i="87"/>
  <c r="BC108" i="87"/>
  <c r="BB108" i="87"/>
  <c r="AU108" i="87"/>
  <c r="AT108" i="87"/>
  <c r="AS108" i="87"/>
  <c r="AR108" i="87"/>
  <c r="AQ108" i="87"/>
  <c r="AP108" i="87"/>
  <c r="AO108" i="87"/>
  <c r="AN108" i="87"/>
  <c r="AL108" i="87"/>
  <c r="AK108" i="87"/>
  <c r="AJ108" i="87"/>
  <c r="AI108" i="87"/>
  <c r="AH108" i="87"/>
  <c r="AG108" i="87"/>
  <c r="AF108" i="87"/>
  <c r="AE108" i="87"/>
  <c r="AD108" i="87"/>
  <c r="AC108" i="87"/>
  <c r="AB108" i="87"/>
  <c r="AA108" i="87"/>
  <c r="Z108" i="87"/>
  <c r="Y108" i="87"/>
  <c r="X108" i="87"/>
  <c r="BH106" i="87"/>
  <c r="BI106" i="87" s="1"/>
  <c r="BF106" i="87"/>
  <c r="BE106" i="87"/>
  <c r="BD106" i="87"/>
  <c r="BC106" i="87"/>
  <c r="BB106" i="87"/>
  <c r="AU106" i="87"/>
  <c r="AT106" i="87"/>
  <c r="AS106" i="87"/>
  <c r="AR106" i="87"/>
  <c r="AQ106" i="87"/>
  <c r="AP106" i="87"/>
  <c r="AO106" i="87"/>
  <c r="AN106" i="87"/>
  <c r="AL106" i="87"/>
  <c r="AK106" i="87"/>
  <c r="AJ106" i="87"/>
  <c r="AI106" i="87"/>
  <c r="AH106" i="87"/>
  <c r="AG106" i="87"/>
  <c r="AF106" i="87"/>
  <c r="AE106" i="87"/>
  <c r="AD106" i="87"/>
  <c r="AC106" i="87"/>
  <c r="AB106" i="87"/>
  <c r="AA106" i="87"/>
  <c r="Z106" i="87"/>
  <c r="Y106" i="87"/>
  <c r="X106" i="87"/>
  <c r="J105" i="87"/>
  <c r="I105" i="87"/>
  <c r="H105" i="87"/>
  <c r="G105" i="87"/>
  <c r="F105" i="87"/>
  <c r="E105" i="87"/>
  <c r="AP105" i="87" s="1"/>
  <c r="D105" i="87"/>
  <c r="C105" i="87"/>
  <c r="B105" i="87"/>
  <c r="B107" i="87" s="1"/>
  <c r="V104" i="87"/>
  <c r="U104" i="87"/>
  <c r="T104" i="87"/>
  <c r="S104" i="87"/>
  <c r="R104" i="87"/>
  <c r="Q104" i="87"/>
  <c r="P104" i="87"/>
  <c r="AK104" i="87" s="1"/>
  <c r="O104" i="87"/>
  <c r="N104" i="87"/>
  <c r="M104" i="87"/>
  <c r="L104" i="87"/>
  <c r="K104" i="87"/>
  <c r="J104" i="87"/>
  <c r="I104" i="87"/>
  <c r="H104" i="87"/>
  <c r="AS104" i="87" s="1"/>
  <c r="G104" i="87"/>
  <c r="F104" i="87"/>
  <c r="E104" i="87"/>
  <c r="D104" i="87"/>
  <c r="AO104" i="87" s="1"/>
  <c r="C104" i="87"/>
  <c r="B104" i="87"/>
  <c r="BH103" i="87"/>
  <c r="BF103" i="87"/>
  <c r="BE103" i="87"/>
  <c r="BD103" i="87"/>
  <c r="BC103" i="87"/>
  <c r="BB103" i="87"/>
  <c r="AU103" i="87"/>
  <c r="AT103" i="87"/>
  <c r="AS103" i="87"/>
  <c r="AR103" i="87"/>
  <c r="AQ103" i="87"/>
  <c r="AP103" i="87"/>
  <c r="AO103" i="87"/>
  <c r="AN103" i="87"/>
  <c r="AL103" i="87"/>
  <c r="AK103" i="87"/>
  <c r="AJ103" i="87"/>
  <c r="AI103" i="87"/>
  <c r="AH103" i="87"/>
  <c r="AG103" i="87"/>
  <c r="AF103" i="87"/>
  <c r="AE103" i="87"/>
  <c r="AD103" i="87"/>
  <c r="AC103" i="87"/>
  <c r="AB103" i="87"/>
  <c r="AA103" i="87"/>
  <c r="Z103" i="87"/>
  <c r="Y103" i="87"/>
  <c r="X103" i="87"/>
  <c r="J102" i="87"/>
  <c r="I102" i="87"/>
  <c r="H102" i="87"/>
  <c r="G102" i="87"/>
  <c r="F102" i="87"/>
  <c r="E102" i="87"/>
  <c r="D102" i="87"/>
  <c r="C102" i="87"/>
  <c r="B102" i="87"/>
  <c r="BH101" i="87"/>
  <c r="BF101" i="87"/>
  <c r="BE101" i="87"/>
  <c r="BD101" i="87"/>
  <c r="BC101" i="87"/>
  <c r="BB101" i="87"/>
  <c r="AU101" i="87"/>
  <c r="AT101" i="87"/>
  <c r="AS101" i="87"/>
  <c r="AR101" i="87"/>
  <c r="AQ101" i="87"/>
  <c r="AP101" i="87"/>
  <c r="AO101" i="87"/>
  <c r="AN101" i="87"/>
  <c r="AL101" i="87"/>
  <c r="AK101" i="87"/>
  <c r="AJ101" i="87"/>
  <c r="AI101" i="87"/>
  <c r="AH101" i="87"/>
  <c r="AG101" i="87"/>
  <c r="AF101" i="87"/>
  <c r="AE101" i="87"/>
  <c r="AD101" i="87"/>
  <c r="AC101" i="87"/>
  <c r="AB101" i="87"/>
  <c r="AA101" i="87"/>
  <c r="Z101" i="87"/>
  <c r="Y101" i="87"/>
  <c r="X101" i="87"/>
  <c r="J100" i="87"/>
  <c r="I100" i="87"/>
  <c r="H100" i="87"/>
  <c r="G100" i="87"/>
  <c r="F100" i="87"/>
  <c r="E100" i="87"/>
  <c r="D100" i="87"/>
  <c r="C100" i="87"/>
  <c r="X100" i="87" s="1"/>
  <c r="B100" i="87"/>
  <c r="BH99" i="87"/>
  <c r="BF99" i="87"/>
  <c r="BE99" i="87"/>
  <c r="BD99" i="87"/>
  <c r="BC99" i="87"/>
  <c r="BB99" i="87"/>
  <c r="AU99" i="87"/>
  <c r="AT99" i="87"/>
  <c r="AS99" i="87"/>
  <c r="AR99" i="87"/>
  <c r="AQ99" i="87"/>
  <c r="AP99" i="87"/>
  <c r="AO99" i="87"/>
  <c r="AN99" i="87"/>
  <c r="AL99" i="87"/>
  <c r="AK99" i="87"/>
  <c r="AJ99" i="87"/>
  <c r="AI99" i="87"/>
  <c r="AH99" i="87"/>
  <c r="AG99" i="87"/>
  <c r="AF99" i="87"/>
  <c r="AE99" i="87"/>
  <c r="AD99" i="87"/>
  <c r="AC99" i="87"/>
  <c r="AB99" i="87"/>
  <c r="AA99" i="87"/>
  <c r="Z99" i="87"/>
  <c r="Y99" i="87"/>
  <c r="X99" i="87"/>
  <c r="AU98" i="87"/>
  <c r="AT98" i="87"/>
  <c r="AS98" i="87"/>
  <c r="AR98" i="87"/>
  <c r="AQ98" i="87"/>
  <c r="AP98" i="87"/>
  <c r="AO98" i="87"/>
  <c r="AN98" i="87"/>
  <c r="AE98" i="87"/>
  <c r="AD98" i="87"/>
  <c r="AC98" i="87"/>
  <c r="AB98" i="87"/>
  <c r="AA98" i="87"/>
  <c r="Z98" i="87"/>
  <c r="Y98" i="87"/>
  <c r="X98" i="87"/>
  <c r="V98" i="87"/>
  <c r="U98" i="87"/>
  <c r="U102" i="87" s="1"/>
  <c r="BH102" i="87" s="1"/>
  <c r="BI102" i="87" s="1"/>
  <c r="T98" i="87"/>
  <c r="T102" i="87" s="1"/>
  <c r="S98" i="87"/>
  <c r="R98" i="87"/>
  <c r="Q98" i="87"/>
  <c r="P98" i="87"/>
  <c r="O98" i="87"/>
  <c r="N98" i="87"/>
  <c r="M98" i="87"/>
  <c r="L98" i="87"/>
  <c r="K98" i="87"/>
  <c r="BH97" i="87"/>
  <c r="BF97" i="87"/>
  <c r="BE97" i="87"/>
  <c r="BD97" i="87"/>
  <c r="BC97" i="87"/>
  <c r="BB97" i="87"/>
  <c r="AU97" i="87"/>
  <c r="AT97" i="87"/>
  <c r="AS97" i="87"/>
  <c r="AR97" i="87"/>
  <c r="AQ97" i="87"/>
  <c r="AP97" i="87"/>
  <c r="AO97" i="87"/>
  <c r="AN97" i="87"/>
  <c r="AL97" i="87"/>
  <c r="AK97" i="87"/>
  <c r="AJ97" i="87"/>
  <c r="AI97" i="87"/>
  <c r="AH97" i="87"/>
  <c r="AG97" i="87"/>
  <c r="AF97" i="87"/>
  <c r="AE97" i="87"/>
  <c r="AD97" i="87"/>
  <c r="AC97" i="87"/>
  <c r="AB97" i="87"/>
  <c r="AA97" i="87"/>
  <c r="Z97" i="87"/>
  <c r="Y97" i="87"/>
  <c r="X97" i="87"/>
  <c r="V96" i="87"/>
  <c r="U96" i="87"/>
  <c r="BH96" i="87" s="1"/>
  <c r="T96" i="87"/>
  <c r="S96" i="87"/>
  <c r="S156" i="87" s="1"/>
  <c r="R96" i="87"/>
  <c r="Q96" i="87"/>
  <c r="P96" i="87"/>
  <c r="O96" i="87"/>
  <c r="N96" i="87"/>
  <c r="AJ96" i="87" s="1"/>
  <c r="M96" i="87"/>
  <c r="AH96" i="87" s="1"/>
  <c r="L96" i="87"/>
  <c r="K96" i="87"/>
  <c r="J96" i="87"/>
  <c r="I96" i="87"/>
  <c r="H96" i="87"/>
  <c r="G96" i="87"/>
  <c r="F96" i="87"/>
  <c r="AB96" i="87" s="1"/>
  <c r="E96" i="87"/>
  <c r="D96" i="87"/>
  <c r="C96" i="87"/>
  <c r="B96" i="87"/>
  <c r="BH95" i="87"/>
  <c r="BF95" i="87"/>
  <c r="BE95" i="87"/>
  <c r="BD95" i="87"/>
  <c r="BC95" i="87"/>
  <c r="BB95" i="87"/>
  <c r="AU95" i="87"/>
  <c r="AT95" i="87"/>
  <c r="AS95" i="87"/>
  <c r="AR95" i="87"/>
  <c r="AQ95" i="87"/>
  <c r="AP95" i="87"/>
  <c r="AO95" i="87"/>
  <c r="AN95" i="87"/>
  <c r="AL95" i="87"/>
  <c r="AK95" i="87"/>
  <c r="AJ95" i="87"/>
  <c r="AI95" i="87"/>
  <c r="AH95" i="87"/>
  <c r="AG95" i="87"/>
  <c r="AF95" i="87"/>
  <c r="AE95" i="87"/>
  <c r="AD95" i="87"/>
  <c r="AC95" i="87"/>
  <c r="AB95" i="87"/>
  <c r="AA95" i="87"/>
  <c r="Z95" i="87"/>
  <c r="Y95" i="87"/>
  <c r="X95" i="87"/>
  <c r="BH94" i="87"/>
  <c r="BF94" i="87"/>
  <c r="BE94" i="87"/>
  <c r="BD94" i="87"/>
  <c r="BC94" i="87"/>
  <c r="BB94" i="87"/>
  <c r="AU94" i="87"/>
  <c r="AT94" i="87"/>
  <c r="AS94" i="87"/>
  <c r="AR94" i="87"/>
  <c r="AQ94" i="87"/>
  <c r="AP94" i="87"/>
  <c r="AO94" i="87"/>
  <c r="AN94" i="87"/>
  <c r="AL94" i="87"/>
  <c r="AK94" i="87"/>
  <c r="AJ94" i="87"/>
  <c r="AI94" i="87"/>
  <c r="AH94" i="87"/>
  <c r="AG94" i="87"/>
  <c r="AF94" i="87"/>
  <c r="AE94" i="87"/>
  <c r="AD94" i="87"/>
  <c r="AC94" i="87"/>
  <c r="AB94" i="87"/>
  <c r="AA94" i="87"/>
  <c r="Z94" i="87"/>
  <c r="Y94" i="87"/>
  <c r="X94" i="87"/>
  <c r="U87" i="87"/>
  <c r="T87" i="87"/>
  <c r="S87" i="87"/>
  <c r="R87" i="87"/>
  <c r="Q87" i="87"/>
  <c r="P87" i="87"/>
  <c r="O87" i="87"/>
  <c r="N87" i="87"/>
  <c r="M87" i="87"/>
  <c r="L87" i="87"/>
  <c r="K87" i="87"/>
  <c r="J87" i="87"/>
  <c r="I87" i="87"/>
  <c r="H87" i="87"/>
  <c r="G87" i="87"/>
  <c r="F87" i="87"/>
  <c r="E87" i="87"/>
  <c r="D87" i="87"/>
  <c r="Z87" i="87" s="1"/>
  <c r="C87" i="87"/>
  <c r="X87" i="87" s="1"/>
  <c r="B87" i="87"/>
  <c r="U85" i="87"/>
  <c r="U88" i="87" s="1"/>
  <c r="T85" i="87"/>
  <c r="S85" i="87"/>
  <c r="R85" i="87"/>
  <c r="R88" i="87" s="1"/>
  <c r="Q85" i="87"/>
  <c r="P85" i="87"/>
  <c r="O85" i="87"/>
  <c r="N85" i="87"/>
  <c r="M85" i="87"/>
  <c r="M88" i="87" s="1"/>
  <c r="L85" i="87"/>
  <c r="K85" i="87"/>
  <c r="J85" i="87"/>
  <c r="I85" i="87"/>
  <c r="H85" i="87"/>
  <c r="AD85" i="87" s="1"/>
  <c r="G85" i="87"/>
  <c r="F85" i="87"/>
  <c r="E85" i="87"/>
  <c r="D85" i="87"/>
  <c r="C85" i="87"/>
  <c r="B85" i="87"/>
  <c r="B88" i="87" s="1"/>
  <c r="U83" i="87"/>
  <c r="T83" i="87"/>
  <c r="S83" i="87"/>
  <c r="R83" i="87"/>
  <c r="Q83" i="87"/>
  <c r="Q88" i="87" s="1"/>
  <c r="P83" i="87"/>
  <c r="O83" i="87"/>
  <c r="N83" i="87"/>
  <c r="M83" i="87"/>
  <c r="L83" i="87"/>
  <c r="K83" i="87"/>
  <c r="J83" i="87"/>
  <c r="I83" i="87"/>
  <c r="H83" i="87"/>
  <c r="G83" i="87"/>
  <c r="F83" i="87"/>
  <c r="E83" i="87"/>
  <c r="D83" i="87"/>
  <c r="C83" i="87"/>
  <c r="B83" i="87"/>
  <c r="U80" i="87"/>
  <c r="T80" i="87"/>
  <c r="S80" i="87"/>
  <c r="R80" i="87"/>
  <c r="Q80" i="87"/>
  <c r="P80" i="87"/>
  <c r="O80" i="87"/>
  <c r="N80" i="87"/>
  <c r="M80" i="87"/>
  <c r="L80" i="87"/>
  <c r="K80" i="87"/>
  <c r="J80" i="87"/>
  <c r="AE80" i="87" s="1"/>
  <c r="I80" i="87"/>
  <c r="H80" i="87"/>
  <c r="G80" i="87"/>
  <c r="F80" i="87"/>
  <c r="E80" i="87"/>
  <c r="D80" i="87"/>
  <c r="C80" i="87"/>
  <c r="B80" i="87"/>
  <c r="V78" i="87"/>
  <c r="U78" i="87"/>
  <c r="T78" i="87"/>
  <c r="S78" i="87"/>
  <c r="R78" i="87"/>
  <c r="Q78" i="87"/>
  <c r="P78" i="87"/>
  <c r="O78" i="87"/>
  <c r="N78" i="87"/>
  <c r="M78" i="87"/>
  <c r="L78" i="87"/>
  <c r="K78" i="87"/>
  <c r="J78" i="87"/>
  <c r="I78" i="87"/>
  <c r="H78" i="87"/>
  <c r="G78" i="87"/>
  <c r="F78" i="87"/>
  <c r="E78" i="87"/>
  <c r="D78" i="87"/>
  <c r="C78" i="87"/>
  <c r="B78" i="87"/>
  <c r="V76" i="87"/>
  <c r="U76" i="87"/>
  <c r="T76" i="87"/>
  <c r="S76" i="87"/>
  <c r="R76" i="87"/>
  <c r="Q76" i="87"/>
  <c r="P76" i="87"/>
  <c r="O76" i="87"/>
  <c r="N76" i="87"/>
  <c r="M76" i="87"/>
  <c r="L76" i="87"/>
  <c r="K76" i="87"/>
  <c r="J76" i="87"/>
  <c r="I76" i="87"/>
  <c r="H76" i="87"/>
  <c r="G76" i="87"/>
  <c r="AC76" i="87" s="1"/>
  <c r="F76" i="87"/>
  <c r="E76" i="87"/>
  <c r="D76" i="87"/>
  <c r="C76" i="87"/>
  <c r="B76" i="87"/>
  <c r="V73" i="87"/>
  <c r="U73" i="87"/>
  <c r="T73" i="87"/>
  <c r="S73" i="87"/>
  <c r="R73" i="87"/>
  <c r="Q73" i="87"/>
  <c r="P73" i="87"/>
  <c r="O73" i="87"/>
  <c r="N73" i="87"/>
  <c r="M73" i="87"/>
  <c r="L73" i="87"/>
  <c r="K73" i="87"/>
  <c r="J73" i="87"/>
  <c r="I73" i="87"/>
  <c r="H73" i="87"/>
  <c r="G73" i="87"/>
  <c r="F73" i="87"/>
  <c r="E73" i="87"/>
  <c r="D73" i="87"/>
  <c r="C73" i="87"/>
  <c r="B73" i="87"/>
  <c r="V71" i="87"/>
  <c r="U71" i="87"/>
  <c r="T71" i="87"/>
  <c r="S71" i="87"/>
  <c r="R71" i="87"/>
  <c r="Q71" i="87"/>
  <c r="P71" i="87"/>
  <c r="O71" i="87"/>
  <c r="N71" i="87"/>
  <c r="M71" i="87"/>
  <c r="L71" i="87"/>
  <c r="K71" i="87"/>
  <c r="J71" i="87"/>
  <c r="I71" i="87"/>
  <c r="AE71" i="87" s="1"/>
  <c r="H71" i="87"/>
  <c r="G71" i="87"/>
  <c r="F71" i="87"/>
  <c r="E71" i="87"/>
  <c r="D71" i="87"/>
  <c r="Z71" i="87" s="1"/>
  <c r="C71" i="87"/>
  <c r="B71" i="87"/>
  <c r="V69" i="87"/>
  <c r="U69" i="87"/>
  <c r="T69" i="87"/>
  <c r="S69" i="87"/>
  <c r="R69" i="87"/>
  <c r="Q69" i="87"/>
  <c r="P69" i="87"/>
  <c r="O69" i="87"/>
  <c r="N69" i="87"/>
  <c r="M69" i="87"/>
  <c r="L69" i="87"/>
  <c r="K69" i="87"/>
  <c r="J69" i="87"/>
  <c r="I69" i="87"/>
  <c r="H69" i="87"/>
  <c r="G69" i="87"/>
  <c r="F69" i="87"/>
  <c r="AB69" i="87" s="1"/>
  <c r="E69" i="87"/>
  <c r="D69" i="87"/>
  <c r="C69" i="87"/>
  <c r="B69" i="87"/>
  <c r="V67" i="87"/>
  <c r="U67" i="87"/>
  <c r="T67" i="87"/>
  <c r="S67" i="87"/>
  <c r="R67" i="87"/>
  <c r="Q67" i="87"/>
  <c r="P67" i="87"/>
  <c r="O67" i="87"/>
  <c r="N67" i="87"/>
  <c r="M67" i="87"/>
  <c r="L67" i="87"/>
  <c r="K67" i="87"/>
  <c r="J67" i="87"/>
  <c r="I67" i="87"/>
  <c r="H67" i="87"/>
  <c r="G67" i="87"/>
  <c r="F67" i="87"/>
  <c r="E67" i="87"/>
  <c r="Z67" i="87" s="1"/>
  <c r="D67" i="87"/>
  <c r="C67" i="87"/>
  <c r="B67" i="87"/>
  <c r="V65" i="87"/>
  <c r="U65" i="87"/>
  <c r="T65" i="87"/>
  <c r="S65" i="87"/>
  <c r="R65" i="87"/>
  <c r="Q65" i="87"/>
  <c r="P65" i="87"/>
  <c r="O65" i="87"/>
  <c r="N65" i="87"/>
  <c r="M65" i="87"/>
  <c r="L65" i="87"/>
  <c r="K65" i="87"/>
  <c r="J65" i="87"/>
  <c r="I65" i="87"/>
  <c r="H65" i="87"/>
  <c r="AD65" i="87" s="1"/>
  <c r="G65" i="87"/>
  <c r="F65" i="87"/>
  <c r="E65" i="87"/>
  <c r="D65" i="87"/>
  <c r="C65" i="87"/>
  <c r="B65" i="87"/>
  <c r="V64" i="87"/>
  <c r="U64" i="87"/>
  <c r="T64" i="87"/>
  <c r="S64" i="87"/>
  <c r="R64" i="87"/>
  <c r="Q64" i="87"/>
  <c r="P64" i="87"/>
  <c r="O64" i="87"/>
  <c r="N64" i="87"/>
  <c r="M64" i="87"/>
  <c r="L64" i="87"/>
  <c r="L66" i="87" s="1"/>
  <c r="K64" i="87"/>
  <c r="J64" i="87"/>
  <c r="I64" i="87"/>
  <c r="H64" i="87"/>
  <c r="G64" i="87"/>
  <c r="F64" i="87"/>
  <c r="E64" i="87"/>
  <c r="AA64" i="87" s="1"/>
  <c r="D64" i="87"/>
  <c r="C64" i="87"/>
  <c r="B64" i="87"/>
  <c r="U58" i="87"/>
  <c r="T58" i="87"/>
  <c r="S58" i="87"/>
  <c r="R58" i="87"/>
  <c r="Q58" i="87"/>
  <c r="P58" i="87"/>
  <c r="O58" i="87"/>
  <c r="N58" i="87"/>
  <c r="AI58" i="87" s="1"/>
  <c r="M58" i="87"/>
  <c r="L58" i="87"/>
  <c r="AH58" i="87" s="1"/>
  <c r="K58" i="87"/>
  <c r="J58" i="87"/>
  <c r="I58" i="87"/>
  <c r="H58" i="87"/>
  <c r="H59" i="87" s="1"/>
  <c r="G58" i="87"/>
  <c r="F58" i="87"/>
  <c r="E58" i="87"/>
  <c r="D58" i="87"/>
  <c r="C58" i="87"/>
  <c r="B58" i="87"/>
  <c r="BE57" i="87"/>
  <c r="BD57" i="87"/>
  <c r="BC57" i="87"/>
  <c r="BB57" i="87"/>
  <c r="AL57" i="87"/>
  <c r="AK57" i="87"/>
  <c r="AJ57" i="87"/>
  <c r="AI57" i="87"/>
  <c r="AH57" i="87"/>
  <c r="AG57" i="87"/>
  <c r="AF57" i="87"/>
  <c r="AE57" i="87"/>
  <c r="AD57" i="87"/>
  <c r="AC57" i="87"/>
  <c r="AB57" i="87"/>
  <c r="AA57" i="87"/>
  <c r="Z57" i="87"/>
  <c r="Y57" i="87"/>
  <c r="X57" i="87"/>
  <c r="BE55" i="87"/>
  <c r="BD55" i="87"/>
  <c r="BC55" i="87"/>
  <c r="BB55" i="87"/>
  <c r="AL55" i="87"/>
  <c r="AK55" i="87"/>
  <c r="AJ55" i="87"/>
  <c r="AI55" i="87"/>
  <c r="AH55" i="87"/>
  <c r="AG55" i="87"/>
  <c r="AF55" i="87"/>
  <c r="AE55" i="87"/>
  <c r="AD55" i="87"/>
  <c r="AC55" i="87"/>
  <c r="AB55" i="87"/>
  <c r="AA55" i="87"/>
  <c r="Z55" i="87"/>
  <c r="Y55" i="87"/>
  <c r="X55" i="87"/>
  <c r="BE53" i="87"/>
  <c r="BD53" i="87"/>
  <c r="BC53" i="87"/>
  <c r="BB53" i="87"/>
  <c r="AL53" i="87"/>
  <c r="AK53" i="87"/>
  <c r="AJ53" i="87"/>
  <c r="AI53" i="87"/>
  <c r="AH53" i="87"/>
  <c r="AG53" i="87"/>
  <c r="AF53" i="87"/>
  <c r="AE53" i="87"/>
  <c r="AD53" i="87"/>
  <c r="AC53" i="87"/>
  <c r="AB53" i="87"/>
  <c r="AA53" i="87"/>
  <c r="Z53" i="87"/>
  <c r="Y53" i="87"/>
  <c r="X53" i="87"/>
  <c r="U51" i="87"/>
  <c r="T51" i="87"/>
  <c r="S51" i="87"/>
  <c r="R51" i="87"/>
  <c r="Q51" i="87"/>
  <c r="P51" i="87"/>
  <c r="O51" i="87"/>
  <c r="N51" i="87"/>
  <c r="M51" i="87"/>
  <c r="L51" i="87"/>
  <c r="K51" i="87"/>
  <c r="J51" i="87"/>
  <c r="I51" i="87"/>
  <c r="H51" i="87"/>
  <c r="G51" i="87"/>
  <c r="F51" i="87"/>
  <c r="AB51" i="87" s="1"/>
  <c r="E51" i="87"/>
  <c r="D51" i="87"/>
  <c r="C51" i="87"/>
  <c r="B51" i="87"/>
  <c r="BE50" i="87"/>
  <c r="BD50" i="87"/>
  <c r="BC50" i="87"/>
  <c r="BB50" i="87"/>
  <c r="AL50" i="87"/>
  <c r="AK50" i="87"/>
  <c r="AJ50" i="87"/>
  <c r="AI50" i="87"/>
  <c r="AH50" i="87"/>
  <c r="AG50" i="87"/>
  <c r="AF50" i="87"/>
  <c r="AE50" i="87"/>
  <c r="AD50" i="87"/>
  <c r="AC50" i="87"/>
  <c r="AB50" i="87"/>
  <c r="AA50" i="87"/>
  <c r="Z50" i="87"/>
  <c r="Y50" i="87"/>
  <c r="X50" i="87"/>
  <c r="BF48" i="87"/>
  <c r="BE48" i="87"/>
  <c r="BD48" i="87"/>
  <c r="BC48" i="87"/>
  <c r="BB48" i="87"/>
  <c r="AL48" i="87"/>
  <c r="AK48" i="87"/>
  <c r="AJ48" i="87"/>
  <c r="AI48" i="87"/>
  <c r="AH48" i="87"/>
  <c r="AG48" i="87"/>
  <c r="AF48" i="87"/>
  <c r="AE48" i="87"/>
  <c r="AD48" i="87"/>
  <c r="AC48" i="87"/>
  <c r="AB48" i="87"/>
  <c r="AA48" i="87"/>
  <c r="Z48" i="87"/>
  <c r="Y48" i="87"/>
  <c r="X48" i="87"/>
  <c r="BF46" i="87"/>
  <c r="BE46" i="87"/>
  <c r="BD46" i="87"/>
  <c r="BC46" i="87"/>
  <c r="BB46" i="87"/>
  <c r="AL46" i="87"/>
  <c r="AK46" i="87"/>
  <c r="AJ46" i="87"/>
  <c r="AI46" i="87"/>
  <c r="AH46" i="87"/>
  <c r="AG46" i="87"/>
  <c r="AF46" i="87"/>
  <c r="AE46" i="87"/>
  <c r="AD46" i="87"/>
  <c r="AC46" i="87"/>
  <c r="AB46" i="87"/>
  <c r="AA46" i="87"/>
  <c r="Z46" i="87"/>
  <c r="Y46" i="87"/>
  <c r="X46" i="87"/>
  <c r="V44" i="87"/>
  <c r="U44" i="87"/>
  <c r="T44" i="87"/>
  <c r="S44" i="87"/>
  <c r="R44" i="87"/>
  <c r="Q44" i="87"/>
  <c r="P44" i="87"/>
  <c r="O44" i="87"/>
  <c r="N44" i="87"/>
  <c r="M44" i="87"/>
  <c r="L44" i="87"/>
  <c r="K44" i="87"/>
  <c r="J44" i="87"/>
  <c r="I44" i="87"/>
  <c r="H44" i="87"/>
  <c r="G44" i="87"/>
  <c r="F44" i="87"/>
  <c r="AB44" i="87" s="1"/>
  <c r="E44" i="87"/>
  <c r="D44" i="87"/>
  <c r="C44" i="87"/>
  <c r="B44" i="87"/>
  <c r="BF43" i="87"/>
  <c r="BE43" i="87"/>
  <c r="BD43" i="87"/>
  <c r="BC43" i="87"/>
  <c r="BB43" i="87"/>
  <c r="AL43" i="87"/>
  <c r="AK43" i="87"/>
  <c r="AJ43" i="87"/>
  <c r="AI43" i="87"/>
  <c r="AH43" i="87"/>
  <c r="AG43" i="87"/>
  <c r="AF43" i="87"/>
  <c r="AE43" i="87"/>
  <c r="AD43" i="87"/>
  <c r="AC43" i="87"/>
  <c r="AB43" i="87"/>
  <c r="AA43" i="87"/>
  <c r="Z43" i="87"/>
  <c r="Y43" i="87"/>
  <c r="X43" i="87"/>
  <c r="BF41" i="87"/>
  <c r="BE41" i="87"/>
  <c r="BD41" i="87"/>
  <c r="BC41" i="87"/>
  <c r="BB41" i="87"/>
  <c r="AL41" i="87"/>
  <c r="AK41" i="87"/>
  <c r="AJ41" i="87"/>
  <c r="AI41" i="87"/>
  <c r="AH41" i="87"/>
  <c r="AG41" i="87"/>
  <c r="AF41" i="87"/>
  <c r="AE41" i="87"/>
  <c r="AD41" i="87"/>
  <c r="AC41" i="87"/>
  <c r="AB41" i="87"/>
  <c r="AA41" i="87"/>
  <c r="Z41" i="87"/>
  <c r="Y41" i="87"/>
  <c r="X41" i="87"/>
  <c r="BF39" i="87"/>
  <c r="BE39" i="87"/>
  <c r="BD39" i="87"/>
  <c r="BC39" i="87"/>
  <c r="BB39" i="87"/>
  <c r="AL39" i="87"/>
  <c r="AK39" i="87"/>
  <c r="AJ39" i="87"/>
  <c r="AI39" i="87"/>
  <c r="AH39" i="87"/>
  <c r="AG39" i="87"/>
  <c r="AF39" i="87"/>
  <c r="AE39" i="87"/>
  <c r="AD39" i="87"/>
  <c r="AC39" i="87"/>
  <c r="AB39" i="87"/>
  <c r="AA39" i="87"/>
  <c r="Z39" i="87"/>
  <c r="Y39" i="87"/>
  <c r="X39" i="87"/>
  <c r="V38" i="87"/>
  <c r="V45" i="87" s="1"/>
  <c r="U38" i="87"/>
  <c r="BF38" i="87" s="1"/>
  <c r="T38" i="87"/>
  <c r="T40" i="87" s="1"/>
  <c r="S38" i="87"/>
  <c r="R38" i="87"/>
  <c r="Q38" i="87"/>
  <c r="Q40" i="87" s="1"/>
  <c r="P38" i="87"/>
  <c r="O38" i="87"/>
  <c r="O42" i="87" s="1"/>
  <c r="N38" i="87"/>
  <c r="M38" i="87"/>
  <c r="M45" i="87" s="1"/>
  <c r="L38" i="87"/>
  <c r="K38" i="87"/>
  <c r="J38" i="87"/>
  <c r="J45" i="87" s="1"/>
  <c r="J56" i="87" s="1"/>
  <c r="I38" i="87"/>
  <c r="H38" i="87"/>
  <c r="G38" i="87"/>
  <c r="G40" i="87" s="1"/>
  <c r="F38" i="87"/>
  <c r="F42" i="87" s="1"/>
  <c r="E38" i="87"/>
  <c r="D38" i="87"/>
  <c r="C38" i="87"/>
  <c r="B38" i="87"/>
  <c r="B45" i="87" s="1"/>
  <c r="B54" i="87" s="1"/>
  <c r="BF37" i="87"/>
  <c r="BE37" i="87"/>
  <c r="BD37" i="87"/>
  <c r="BC37" i="87"/>
  <c r="BB37" i="87"/>
  <c r="AL37" i="87"/>
  <c r="AK37" i="87"/>
  <c r="AJ37" i="87"/>
  <c r="AI37" i="87"/>
  <c r="AH37" i="87"/>
  <c r="AG37" i="87"/>
  <c r="AF37" i="87"/>
  <c r="AE37" i="87"/>
  <c r="AD37" i="87"/>
  <c r="AC37" i="87"/>
  <c r="AB37" i="87"/>
  <c r="AA37" i="87"/>
  <c r="Z37" i="87"/>
  <c r="Y37" i="87"/>
  <c r="X37" i="87"/>
  <c r="V36" i="87"/>
  <c r="U36" i="87"/>
  <c r="T36" i="87"/>
  <c r="S36" i="87"/>
  <c r="R36" i="87"/>
  <c r="Q36" i="87"/>
  <c r="P36" i="87"/>
  <c r="O36" i="87"/>
  <c r="N36" i="87"/>
  <c r="M36" i="87"/>
  <c r="AI36" i="87" s="1"/>
  <c r="L36" i="87"/>
  <c r="K36" i="87"/>
  <c r="J36" i="87"/>
  <c r="I36" i="87"/>
  <c r="AD36" i="87" s="1"/>
  <c r="H36" i="87"/>
  <c r="G36" i="87"/>
  <c r="AC36" i="87" s="1"/>
  <c r="F36" i="87"/>
  <c r="E36" i="87"/>
  <c r="D36" i="87"/>
  <c r="C36" i="87"/>
  <c r="B36" i="87"/>
  <c r="BF35" i="87"/>
  <c r="BE35" i="87"/>
  <c r="BD35" i="87"/>
  <c r="BC35" i="87"/>
  <c r="BB35" i="87"/>
  <c r="AL35" i="87"/>
  <c r="AK35" i="87"/>
  <c r="AJ35" i="87"/>
  <c r="AI35" i="87"/>
  <c r="AH35" i="87"/>
  <c r="AG35" i="87"/>
  <c r="AF35" i="87"/>
  <c r="AE35" i="87"/>
  <c r="AD35" i="87"/>
  <c r="AC35" i="87"/>
  <c r="AB35" i="87"/>
  <c r="AA35" i="87"/>
  <c r="Z35" i="87"/>
  <c r="Y35" i="87"/>
  <c r="X35" i="87"/>
  <c r="BF34" i="87"/>
  <c r="BE34" i="87"/>
  <c r="BD34" i="87"/>
  <c r="BC34" i="87"/>
  <c r="BB34" i="87"/>
  <c r="AL34" i="87"/>
  <c r="AK34" i="87"/>
  <c r="AJ34" i="87"/>
  <c r="AI34" i="87"/>
  <c r="AH34" i="87"/>
  <c r="AG34" i="87"/>
  <c r="AF34" i="87"/>
  <c r="AE34" i="87"/>
  <c r="AD34" i="87"/>
  <c r="AC34" i="87"/>
  <c r="AB34" i="87"/>
  <c r="AA34" i="87"/>
  <c r="Z34" i="87"/>
  <c r="Y34" i="87"/>
  <c r="X34" i="87"/>
  <c r="T28" i="87"/>
  <c r="S28" i="87"/>
  <c r="R28" i="87"/>
  <c r="BB28" i="87" s="1"/>
  <c r="Q28" i="87"/>
  <c r="P28" i="87"/>
  <c r="P29" i="87" s="1"/>
  <c r="O28" i="87"/>
  <c r="N28" i="87"/>
  <c r="N29" i="87" s="1"/>
  <c r="M28" i="87"/>
  <c r="L28" i="87"/>
  <c r="L29" i="87" s="1"/>
  <c r="K28" i="87"/>
  <c r="J28" i="87"/>
  <c r="I28" i="87"/>
  <c r="H28" i="87"/>
  <c r="H29" i="87" s="1"/>
  <c r="G28" i="87"/>
  <c r="F28" i="87"/>
  <c r="E28" i="87"/>
  <c r="D28" i="87"/>
  <c r="C28" i="87"/>
  <c r="B28" i="87"/>
  <c r="BH27" i="87"/>
  <c r="BE27" i="87"/>
  <c r="BD27" i="87"/>
  <c r="BC27" i="87"/>
  <c r="BB27" i="87"/>
  <c r="AL27" i="87"/>
  <c r="AK27" i="87"/>
  <c r="AJ27" i="87"/>
  <c r="AI27" i="87"/>
  <c r="AH27" i="87"/>
  <c r="AG27" i="87"/>
  <c r="AF27" i="87"/>
  <c r="AE27" i="87"/>
  <c r="AD27" i="87"/>
  <c r="AC27" i="87"/>
  <c r="AB27" i="87"/>
  <c r="AA27" i="87"/>
  <c r="Z27" i="87"/>
  <c r="Y27" i="87"/>
  <c r="X27" i="87"/>
  <c r="BH25" i="87"/>
  <c r="BE25" i="87"/>
  <c r="BD25" i="87"/>
  <c r="BC25" i="87"/>
  <c r="BB25" i="87"/>
  <c r="AL25" i="87"/>
  <c r="AK25" i="87"/>
  <c r="AJ25" i="87"/>
  <c r="AI25" i="87"/>
  <c r="AH25" i="87"/>
  <c r="AG25" i="87"/>
  <c r="AF25" i="87"/>
  <c r="AE25" i="87"/>
  <c r="AD25" i="87"/>
  <c r="AC25" i="87"/>
  <c r="AB25" i="87"/>
  <c r="AA25" i="87"/>
  <c r="Z25" i="87"/>
  <c r="Y25" i="87"/>
  <c r="X25" i="87"/>
  <c r="BH23" i="87"/>
  <c r="BE23" i="87"/>
  <c r="BD23" i="87"/>
  <c r="BC23" i="87"/>
  <c r="BB23" i="87"/>
  <c r="AL23" i="87"/>
  <c r="AK23" i="87"/>
  <c r="AJ23" i="87"/>
  <c r="AI23" i="87"/>
  <c r="AH23" i="87"/>
  <c r="AG23" i="87"/>
  <c r="AF23" i="87"/>
  <c r="AE23" i="87"/>
  <c r="AD23" i="87"/>
  <c r="AC23" i="87"/>
  <c r="AB23" i="87"/>
  <c r="AA23" i="87"/>
  <c r="Z23" i="87"/>
  <c r="Y23" i="87"/>
  <c r="X23" i="87"/>
  <c r="T21" i="87"/>
  <c r="S21" i="87"/>
  <c r="R21" i="87"/>
  <c r="Q21" i="87"/>
  <c r="P21" i="87"/>
  <c r="O21" i="87"/>
  <c r="N21" i="87"/>
  <c r="M21" i="87"/>
  <c r="L21" i="87"/>
  <c r="K21" i="87"/>
  <c r="J21" i="87"/>
  <c r="I21" i="87"/>
  <c r="H21" i="87"/>
  <c r="G21" i="87"/>
  <c r="AC21" i="87" s="1"/>
  <c r="F21" i="87"/>
  <c r="E21" i="87"/>
  <c r="D21" i="87"/>
  <c r="C21" i="87"/>
  <c r="B21" i="87"/>
  <c r="BH20" i="87"/>
  <c r="BE20" i="87"/>
  <c r="BD20" i="87"/>
  <c r="BC20" i="87"/>
  <c r="BB20" i="87"/>
  <c r="AL20" i="87"/>
  <c r="AK20" i="87"/>
  <c r="AJ20" i="87"/>
  <c r="AI20" i="87"/>
  <c r="AH20" i="87"/>
  <c r="AG20" i="87"/>
  <c r="AF20" i="87"/>
  <c r="AE20" i="87"/>
  <c r="AD20" i="87"/>
  <c r="AC20" i="87"/>
  <c r="AB20" i="87"/>
  <c r="AA20" i="87"/>
  <c r="Z20" i="87"/>
  <c r="Y20" i="87"/>
  <c r="X20" i="87"/>
  <c r="BK18" i="87"/>
  <c r="BJ18" i="87"/>
  <c r="BH18" i="87"/>
  <c r="BF18" i="87"/>
  <c r="BE18" i="87"/>
  <c r="BD18" i="87"/>
  <c r="BC18" i="87"/>
  <c r="BB18" i="87"/>
  <c r="AL18" i="87"/>
  <c r="AK18" i="87"/>
  <c r="AJ18" i="87"/>
  <c r="AI18" i="87"/>
  <c r="AH18" i="87"/>
  <c r="AG18" i="87"/>
  <c r="AF18" i="87"/>
  <c r="AE18" i="87"/>
  <c r="AD18" i="87"/>
  <c r="AC18" i="87"/>
  <c r="AB18" i="87"/>
  <c r="AA18" i="87"/>
  <c r="Z18" i="87"/>
  <c r="Y18" i="87"/>
  <c r="X18" i="87"/>
  <c r="BH16" i="87"/>
  <c r="BF16" i="87"/>
  <c r="BE16" i="87"/>
  <c r="BD16" i="87"/>
  <c r="BC16" i="87"/>
  <c r="BB16" i="87"/>
  <c r="AL16" i="87"/>
  <c r="AK16" i="87"/>
  <c r="AJ16" i="87"/>
  <c r="AI16" i="87"/>
  <c r="AH16" i="87"/>
  <c r="AG16" i="87"/>
  <c r="AF16" i="87"/>
  <c r="AE16" i="87"/>
  <c r="AD16" i="87"/>
  <c r="AC16" i="87"/>
  <c r="AB16" i="87"/>
  <c r="AA16" i="87"/>
  <c r="Z16" i="87"/>
  <c r="Y16" i="87"/>
  <c r="X16" i="87"/>
  <c r="V14" i="87"/>
  <c r="BF14" i="87" s="1"/>
  <c r="U14" i="87"/>
  <c r="T14" i="87"/>
  <c r="S14" i="87"/>
  <c r="R14" i="87"/>
  <c r="Q14" i="87"/>
  <c r="P14" i="87"/>
  <c r="AL14" i="87" s="1"/>
  <c r="O14" i="87"/>
  <c r="N14" i="87"/>
  <c r="M14" i="87"/>
  <c r="L14" i="87"/>
  <c r="K14" i="87"/>
  <c r="J14" i="87"/>
  <c r="I14" i="87"/>
  <c r="H14" i="87"/>
  <c r="AD14" i="87" s="1"/>
  <c r="G14" i="87"/>
  <c r="F14" i="87"/>
  <c r="E14" i="87"/>
  <c r="D14" i="87"/>
  <c r="C14" i="87"/>
  <c r="B14" i="87"/>
  <c r="BH13" i="87"/>
  <c r="BF13" i="87"/>
  <c r="BE13" i="87"/>
  <c r="BD13" i="87"/>
  <c r="BC13" i="87"/>
  <c r="BB13" i="87"/>
  <c r="AL13" i="87"/>
  <c r="AK13" i="87"/>
  <c r="AJ13" i="87"/>
  <c r="AI13" i="87"/>
  <c r="AH13" i="87"/>
  <c r="AG13" i="87"/>
  <c r="AF13" i="87"/>
  <c r="AE13" i="87"/>
  <c r="AD13" i="87"/>
  <c r="AC13" i="87"/>
  <c r="AB13" i="87"/>
  <c r="AA13" i="87"/>
  <c r="Z13" i="87"/>
  <c r="Y13" i="87"/>
  <c r="X13" i="87"/>
  <c r="BH11" i="87"/>
  <c r="BF11" i="87"/>
  <c r="BE11" i="87"/>
  <c r="BD11" i="87"/>
  <c r="BC11" i="87"/>
  <c r="BB11" i="87"/>
  <c r="AL11" i="87"/>
  <c r="AK11" i="87"/>
  <c r="AJ11" i="87"/>
  <c r="AI11" i="87"/>
  <c r="AH11" i="87"/>
  <c r="AG11" i="87"/>
  <c r="AF11" i="87"/>
  <c r="AE11" i="87"/>
  <c r="AD11" i="87"/>
  <c r="AC11" i="87"/>
  <c r="AB11" i="87"/>
  <c r="AA11" i="87"/>
  <c r="Z11" i="87"/>
  <c r="Y11" i="87"/>
  <c r="X11" i="87"/>
  <c r="BH9" i="87"/>
  <c r="BF9" i="87"/>
  <c r="BE9" i="87"/>
  <c r="BD9" i="87"/>
  <c r="BC9" i="87"/>
  <c r="BB9" i="87"/>
  <c r="AL9" i="87"/>
  <c r="AK9" i="87"/>
  <c r="AJ9" i="87"/>
  <c r="AI9" i="87"/>
  <c r="AH9" i="87"/>
  <c r="AG9" i="87"/>
  <c r="AF9" i="87"/>
  <c r="AE9" i="87"/>
  <c r="AD9" i="87"/>
  <c r="AC9" i="87"/>
  <c r="AB9" i="87"/>
  <c r="AA9" i="87"/>
  <c r="Z9" i="87"/>
  <c r="Y9" i="87"/>
  <c r="X9" i="87"/>
  <c r="V8" i="87"/>
  <c r="U8" i="87"/>
  <c r="U12" i="87"/>
  <c r="T8" i="87"/>
  <c r="T10" i="87" s="1"/>
  <c r="S8" i="87"/>
  <c r="S15" i="87" s="1"/>
  <c r="R8" i="87"/>
  <c r="R15" i="87"/>
  <c r="Q8" i="87"/>
  <c r="P8" i="87"/>
  <c r="O8" i="87"/>
  <c r="N8" i="87"/>
  <c r="M8" i="87"/>
  <c r="L8" i="87"/>
  <c r="K8" i="87"/>
  <c r="K12" i="87"/>
  <c r="J8" i="87"/>
  <c r="I8" i="87"/>
  <c r="H8" i="87"/>
  <c r="H15" i="87" s="1"/>
  <c r="G8" i="87"/>
  <c r="G10" i="87" s="1"/>
  <c r="F8" i="87"/>
  <c r="E8" i="87"/>
  <c r="D8" i="87"/>
  <c r="C8" i="87"/>
  <c r="B8" i="87"/>
  <c r="BH7" i="87"/>
  <c r="BF7" i="87"/>
  <c r="BE7" i="87"/>
  <c r="BD7" i="87"/>
  <c r="BC7" i="87"/>
  <c r="BB7" i="87"/>
  <c r="AL7" i="87"/>
  <c r="AK7" i="87"/>
  <c r="AJ7" i="87"/>
  <c r="AI7" i="87"/>
  <c r="AH7" i="87"/>
  <c r="AG7" i="87"/>
  <c r="AF7" i="87"/>
  <c r="AE7" i="87"/>
  <c r="AD7" i="87"/>
  <c r="AC7" i="87"/>
  <c r="AB7" i="87"/>
  <c r="AA7" i="87"/>
  <c r="Z7" i="87"/>
  <c r="Y7" i="87"/>
  <c r="X7" i="87"/>
  <c r="V6" i="87"/>
  <c r="U6" i="87"/>
  <c r="T6" i="87"/>
  <c r="S6" i="87"/>
  <c r="R6" i="87"/>
  <c r="Q6" i="87"/>
  <c r="P6" i="87"/>
  <c r="O6" i="87"/>
  <c r="N6" i="87"/>
  <c r="M6" i="87"/>
  <c r="L6" i="87"/>
  <c r="K6" i="87"/>
  <c r="J6" i="87"/>
  <c r="I6" i="87"/>
  <c r="AD6" i="87" s="1"/>
  <c r="H6" i="87"/>
  <c r="G6" i="87"/>
  <c r="F6" i="87"/>
  <c r="E6" i="87"/>
  <c r="D6" i="87"/>
  <c r="C6" i="87"/>
  <c r="B6" i="87"/>
  <c r="BH5" i="87"/>
  <c r="BF5" i="87"/>
  <c r="BE5" i="87"/>
  <c r="BD5" i="87"/>
  <c r="BC5" i="87"/>
  <c r="BB5" i="87"/>
  <c r="AL5" i="87"/>
  <c r="AK5" i="87"/>
  <c r="AJ5" i="87"/>
  <c r="AI5" i="87"/>
  <c r="AH5" i="87"/>
  <c r="AG5" i="87"/>
  <c r="AF5" i="87"/>
  <c r="AE5" i="87"/>
  <c r="AD5" i="87"/>
  <c r="AC5" i="87"/>
  <c r="AB5" i="87"/>
  <c r="AA5" i="87"/>
  <c r="Z5" i="87"/>
  <c r="Y5" i="87"/>
  <c r="X5" i="87"/>
  <c r="BH4" i="87"/>
  <c r="BF4" i="87"/>
  <c r="BE4" i="87"/>
  <c r="BD4" i="87"/>
  <c r="BC4" i="87"/>
  <c r="BB4" i="87"/>
  <c r="AL4" i="87"/>
  <c r="AK4" i="87"/>
  <c r="AJ4" i="87"/>
  <c r="AI4" i="87"/>
  <c r="AH4" i="87"/>
  <c r="AG4" i="87"/>
  <c r="AF4" i="87"/>
  <c r="AE4" i="87"/>
  <c r="AD4" i="87"/>
  <c r="AC4" i="87"/>
  <c r="AB4" i="87"/>
  <c r="AA4" i="87"/>
  <c r="Z4" i="87"/>
  <c r="Y4" i="87"/>
  <c r="X4" i="87"/>
  <c r="J60" i="87"/>
  <c r="I66" i="87"/>
  <c r="Q66" i="87"/>
  <c r="E29" i="87"/>
  <c r="J42" i="87"/>
  <c r="N102" i="87"/>
  <c r="V102" i="87"/>
  <c r="I132" i="87"/>
  <c r="P119" i="87"/>
  <c r="AH126" i="87"/>
  <c r="I130" i="87"/>
  <c r="R10" i="87"/>
  <c r="R12" i="87"/>
  <c r="E15" i="87"/>
  <c r="M15" i="87"/>
  <c r="M17" i="87" s="1"/>
  <c r="D12" i="87"/>
  <c r="F15" i="87"/>
  <c r="O40" i="87"/>
  <c r="I40" i="87"/>
  <c r="R45" i="87"/>
  <c r="R52" i="87" s="1"/>
  <c r="L40" i="87"/>
  <c r="J59" i="87"/>
  <c r="R59" i="87"/>
  <c r="AE58" i="87"/>
  <c r="B109" i="87"/>
  <c r="J107" i="87"/>
  <c r="J109" i="87" s="1"/>
  <c r="B132" i="87"/>
  <c r="AA134" i="87"/>
  <c r="B112" i="87"/>
  <c r="J112" i="87"/>
  <c r="O130" i="87"/>
  <c r="B135" i="87"/>
  <c r="AD148" i="87"/>
  <c r="AB148" i="87"/>
  <c r="AI159" i="87"/>
  <c r="R60" i="87"/>
  <c r="F24" i="87"/>
  <c r="BH112" i="87"/>
  <c r="BH26" i="87"/>
  <c r="BH114" i="87"/>
  <c r="BH116" i="87"/>
  <c r="BH30" i="87"/>
  <c r="BH22" i="87"/>
  <c r="BH24" i="87"/>
  <c r="U5" i="85"/>
  <c r="U6" i="85"/>
  <c r="U7" i="85"/>
  <c r="U9" i="85"/>
  <c r="AQ9" i="85" s="1"/>
  <c r="U10" i="85"/>
  <c r="U11" i="85"/>
  <c r="U14" i="85"/>
  <c r="U15" i="85"/>
  <c r="U16" i="85"/>
  <c r="AT16" i="85" s="1"/>
  <c r="U18" i="85"/>
  <c r="U19" i="85"/>
  <c r="U20" i="85"/>
  <c r="R20" i="85"/>
  <c r="R19" i="85"/>
  <c r="R18" i="85"/>
  <c r="R16" i="85"/>
  <c r="R15" i="85"/>
  <c r="R14" i="85"/>
  <c r="R11" i="85"/>
  <c r="R10" i="85"/>
  <c r="R9" i="85"/>
  <c r="R7" i="85"/>
  <c r="R6" i="85"/>
  <c r="R5" i="85"/>
  <c r="AQ24" i="85"/>
  <c r="AQ25" i="85"/>
  <c r="T20" i="85"/>
  <c r="T11" i="85"/>
  <c r="T10" i="85"/>
  <c r="T12" i="85" s="1"/>
  <c r="T9" i="85"/>
  <c r="T7" i="85"/>
  <c r="T6" i="85"/>
  <c r="T5" i="85"/>
  <c r="T19" i="85"/>
  <c r="T18" i="86"/>
  <c r="T16" i="86"/>
  <c r="T15" i="86"/>
  <c r="T17" i="86" s="1"/>
  <c r="T14" i="86"/>
  <c r="S18" i="86"/>
  <c r="S16" i="86"/>
  <c r="AI20" i="86"/>
  <c r="AK6" i="86"/>
  <c r="T11" i="86"/>
  <c r="S11" i="86" s="1"/>
  <c r="T10" i="86"/>
  <c r="T9" i="86"/>
  <c r="T7" i="86"/>
  <c r="S7" i="86" s="1"/>
  <c r="T6" i="86"/>
  <c r="AS6" i="86" s="1"/>
  <c r="T5" i="86"/>
  <c r="S14" i="86"/>
  <c r="S15" i="86"/>
  <c r="AU15" i="86" s="1"/>
  <c r="K19" i="86"/>
  <c r="M20" i="86"/>
  <c r="M19" i="86"/>
  <c r="AH19" i="86" s="1"/>
  <c r="M18" i="86"/>
  <c r="M16" i="86"/>
  <c r="M17" i="86" s="1"/>
  <c r="M15" i="86"/>
  <c r="M14" i="86"/>
  <c r="M11" i="86"/>
  <c r="M10" i="86"/>
  <c r="M9" i="86"/>
  <c r="M7" i="86"/>
  <c r="AM7" i="86" s="1"/>
  <c r="M6" i="86"/>
  <c r="M5" i="86"/>
  <c r="K20" i="86"/>
  <c r="K18" i="86"/>
  <c r="K16" i="86"/>
  <c r="AF16" i="86" s="1"/>
  <c r="K15" i="86"/>
  <c r="K14" i="86"/>
  <c r="K11" i="86"/>
  <c r="K10" i="86"/>
  <c r="K9" i="86"/>
  <c r="K7" i="86"/>
  <c r="K6" i="86"/>
  <c r="K5" i="86"/>
  <c r="J20" i="86"/>
  <c r="J19" i="86"/>
  <c r="J18" i="86"/>
  <c r="J16" i="86"/>
  <c r="J15" i="86"/>
  <c r="J17" i="86" s="1"/>
  <c r="J14" i="86"/>
  <c r="J11" i="86"/>
  <c r="J10" i="86"/>
  <c r="AE10" i="86" s="1"/>
  <c r="J9" i="86"/>
  <c r="J7" i="86"/>
  <c r="J6" i="86"/>
  <c r="J5" i="86"/>
  <c r="I20" i="86"/>
  <c r="I19" i="86"/>
  <c r="I18" i="86"/>
  <c r="I16" i="86"/>
  <c r="I15" i="86"/>
  <c r="I14" i="86"/>
  <c r="I11" i="86"/>
  <c r="I10" i="86"/>
  <c r="I9" i="86"/>
  <c r="AE9" i="86" s="1"/>
  <c r="I7" i="86"/>
  <c r="I6" i="86"/>
  <c r="I5" i="86"/>
  <c r="AE5" i="86" s="1"/>
  <c r="H20" i="86"/>
  <c r="H19" i="86"/>
  <c r="H18" i="86"/>
  <c r="H16" i="86"/>
  <c r="H15" i="86"/>
  <c r="H14" i="86"/>
  <c r="H11" i="86"/>
  <c r="H10" i="86"/>
  <c r="H9" i="86"/>
  <c r="H7" i="86"/>
  <c r="H6" i="86"/>
  <c r="H5" i="86"/>
  <c r="G20" i="86"/>
  <c r="G19" i="86"/>
  <c r="G18" i="86"/>
  <c r="G16" i="86"/>
  <c r="G15" i="86"/>
  <c r="G14" i="86"/>
  <c r="G11" i="86"/>
  <c r="AB11" i="86" s="1"/>
  <c r="G10" i="86"/>
  <c r="G9" i="86"/>
  <c r="G7" i="86"/>
  <c r="G6" i="86"/>
  <c r="G5" i="86"/>
  <c r="F20" i="86"/>
  <c r="F19" i="86"/>
  <c r="AA19" i="86" s="1"/>
  <c r="F18" i="86"/>
  <c r="AA18" i="86" s="1"/>
  <c r="F16" i="86"/>
  <c r="AA16" i="86"/>
  <c r="F15" i="86"/>
  <c r="F14" i="86"/>
  <c r="AA14" i="86" s="1"/>
  <c r="F11" i="86"/>
  <c r="AA11" i="86" s="1"/>
  <c r="F10" i="86"/>
  <c r="F9" i="86"/>
  <c r="AA9" i="86" s="1"/>
  <c r="F7" i="86"/>
  <c r="AA7" i="86" s="1"/>
  <c r="F6" i="86"/>
  <c r="F5" i="86"/>
  <c r="AA5" i="86" s="1"/>
  <c r="P20" i="86"/>
  <c r="P19" i="86"/>
  <c r="AR19" i="86" s="1"/>
  <c r="P18" i="86"/>
  <c r="P16" i="86"/>
  <c r="P15" i="86"/>
  <c r="P14" i="86"/>
  <c r="AU14" i="86" s="1"/>
  <c r="P11" i="86"/>
  <c r="AU11" i="86" s="1"/>
  <c r="P10" i="86"/>
  <c r="P9" i="86"/>
  <c r="P7" i="86"/>
  <c r="P6" i="86"/>
  <c r="P5" i="86"/>
  <c r="O20" i="86"/>
  <c r="O19" i="86"/>
  <c r="O18" i="86"/>
  <c r="O16" i="86"/>
  <c r="O15" i="86"/>
  <c r="O14" i="86"/>
  <c r="O11" i="86"/>
  <c r="O10" i="86"/>
  <c r="O9" i="86"/>
  <c r="O7" i="86"/>
  <c r="O6" i="86"/>
  <c r="O5" i="86"/>
  <c r="N20" i="86"/>
  <c r="N21" i="86" s="1"/>
  <c r="N19" i="86"/>
  <c r="N18" i="86"/>
  <c r="N16" i="86"/>
  <c r="N15" i="86"/>
  <c r="N14" i="86"/>
  <c r="AM14" i="86" s="1"/>
  <c r="N11" i="86"/>
  <c r="N10" i="86"/>
  <c r="N9" i="86"/>
  <c r="N7" i="86"/>
  <c r="N6" i="86"/>
  <c r="N5" i="86"/>
  <c r="L34" i="86"/>
  <c r="E26" i="86"/>
  <c r="E37" i="86" s="1"/>
  <c r="D26" i="86"/>
  <c r="C26" i="86"/>
  <c r="C37" i="86" s="1"/>
  <c r="B26" i="86"/>
  <c r="BL25" i="86"/>
  <c r="BL24" i="86"/>
  <c r="E24" i="86"/>
  <c r="D24" i="86"/>
  <c r="C24" i="86"/>
  <c r="Y24" i="86" s="1"/>
  <c r="B24" i="86"/>
  <c r="B35" i="86" s="1"/>
  <c r="D23" i="86"/>
  <c r="C23" i="86"/>
  <c r="AY10" i="86" s="1"/>
  <c r="B23" i="86"/>
  <c r="E22" i="86"/>
  <c r="D22" i="86"/>
  <c r="Z22" i="86" s="1"/>
  <c r="C22" i="86"/>
  <c r="B22" i="86"/>
  <c r="Z21" i="86"/>
  <c r="Y21" i="86"/>
  <c r="X21" i="86"/>
  <c r="Z20" i="86"/>
  <c r="Y20" i="86"/>
  <c r="X20" i="86"/>
  <c r="Z19" i="86"/>
  <c r="Y19" i="86"/>
  <c r="X19" i="86"/>
  <c r="Z18" i="86"/>
  <c r="Y18" i="86"/>
  <c r="X18" i="86"/>
  <c r="Z17" i="86"/>
  <c r="Y17" i="86"/>
  <c r="X17" i="86"/>
  <c r="Z16" i="86"/>
  <c r="Y16" i="86"/>
  <c r="X16" i="86"/>
  <c r="Z15" i="86"/>
  <c r="Y15" i="86"/>
  <c r="X15" i="86"/>
  <c r="Z14" i="86"/>
  <c r="Y14" i="86"/>
  <c r="X14" i="86"/>
  <c r="Y13" i="86"/>
  <c r="X13" i="86"/>
  <c r="Y12" i="86"/>
  <c r="X12" i="86"/>
  <c r="E12" i="86"/>
  <c r="Z12" i="86" s="1"/>
  <c r="Z11" i="86"/>
  <c r="Y11" i="86"/>
  <c r="X11" i="86"/>
  <c r="Z10" i="86"/>
  <c r="Y10" i="86"/>
  <c r="X10" i="86"/>
  <c r="Z9" i="86"/>
  <c r="Y9" i="86"/>
  <c r="X9" i="86"/>
  <c r="Y8" i="86"/>
  <c r="X8" i="86"/>
  <c r="E8" i="86"/>
  <c r="Z8" i="86" s="1"/>
  <c r="Z7" i="86"/>
  <c r="Y7" i="86"/>
  <c r="X7" i="86"/>
  <c r="Z6" i="86"/>
  <c r="Y6" i="86"/>
  <c r="X6" i="86"/>
  <c r="Z5" i="86"/>
  <c r="Y5" i="86"/>
  <c r="X5" i="86"/>
  <c r="L32" i="85"/>
  <c r="E26" i="85"/>
  <c r="Z26" i="85" s="1"/>
  <c r="D26" i="85"/>
  <c r="C26" i="85"/>
  <c r="C27" i="85" s="1"/>
  <c r="C36" i="85" s="1"/>
  <c r="B26" i="85"/>
  <c r="BJ25" i="85"/>
  <c r="BJ24" i="85"/>
  <c r="E24" i="85"/>
  <c r="E33" i="85" s="1"/>
  <c r="D24" i="85"/>
  <c r="C24" i="85"/>
  <c r="C33" i="85" s="1"/>
  <c r="B24" i="85"/>
  <c r="D23" i="85"/>
  <c r="AX10" i="85" s="1"/>
  <c r="C23" i="85"/>
  <c r="B23" i="85"/>
  <c r="AV12" i="85" s="1"/>
  <c r="E22" i="85"/>
  <c r="D22" i="85"/>
  <c r="C22" i="85"/>
  <c r="B22" i="85"/>
  <c r="Z21" i="85"/>
  <c r="Y21" i="85"/>
  <c r="X21" i="85"/>
  <c r="Z20" i="85"/>
  <c r="Y20" i="85"/>
  <c r="X20" i="85"/>
  <c r="P20" i="85"/>
  <c r="O20" i="85"/>
  <c r="AK20" i="86"/>
  <c r="N20" i="85"/>
  <c r="M20" i="85"/>
  <c r="K20" i="85"/>
  <c r="J20" i="85"/>
  <c r="AE20" i="85" s="1"/>
  <c r="I20" i="85"/>
  <c r="H20" i="85"/>
  <c r="G20" i="85"/>
  <c r="F20" i="85"/>
  <c r="Z19" i="85"/>
  <c r="Y19" i="85"/>
  <c r="X19" i="85"/>
  <c r="P19" i="85"/>
  <c r="O19" i="85"/>
  <c r="AK19" i="86"/>
  <c r="N19" i="85"/>
  <c r="M19" i="85"/>
  <c r="AI19" i="86"/>
  <c r="K19" i="85"/>
  <c r="J19" i="85"/>
  <c r="I19" i="85"/>
  <c r="H19" i="85"/>
  <c r="G19" i="85"/>
  <c r="F19" i="85"/>
  <c r="Z18" i="85"/>
  <c r="Y18" i="85"/>
  <c r="X18" i="85"/>
  <c r="T18" i="85"/>
  <c r="P18" i="85"/>
  <c r="AL18" i="86"/>
  <c r="O18" i="85"/>
  <c r="AK18" i="86"/>
  <c r="N18" i="85"/>
  <c r="M18" i="85"/>
  <c r="AM18" i="85" s="1"/>
  <c r="AI18" i="86"/>
  <c r="K18" i="85"/>
  <c r="J18" i="85"/>
  <c r="AE18" i="85" s="1"/>
  <c r="I18" i="85"/>
  <c r="H18" i="85"/>
  <c r="G18" i="85"/>
  <c r="F18" i="85"/>
  <c r="Z17" i="85"/>
  <c r="Y17" i="85"/>
  <c r="X17" i="85"/>
  <c r="Z16" i="85"/>
  <c r="Y16" i="85"/>
  <c r="X16" i="85"/>
  <c r="T16" i="85"/>
  <c r="P16" i="85"/>
  <c r="AL16" i="86"/>
  <c r="O16" i="85"/>
  <c r="N16" i="85"/>
  <c r="M16" i="85"/>
  <c r="AI16" i="86"/>
  <c r="K16" i="85"/>
  <c r="AF16" i="85" s="1"/>
  <c r="J16" i="85"/>
  <c r="I16" i="85"/>
  <c r="H16" i="85"/>
  <c r="G16" i="85"/>
  <c r="F16" i="85"/>
  <c r="AA16" i="85" s="1"/>
  <c r="Z15" i="85"/>
  <c r="Y15" i="85"/>
  <c r="X15" i="85"/>
  <c r="T15" i="85"/>
  <c r="P15" i="85"/>
  <c r="O15" i="85"/>
  <c r="AO15" i="85" s="1"/>
  <c r="N15" i="85"/>
  <c r="AJ15" i="86"/>
  <c r="M15" i="85"/>
  <c r="AM15" i="85" s="1"/>
  <c r="AI15" i="86"/>
  <c r="K15" i="85"/>
  <c r="AF15" i="85" s="1"/>
  <c r="J15" i="85"/>
  <c r="I15" i="85"/>
  <c r="H15" i="85"/>
  <c r="AC15" i="85" s="1"/>
  <c r="G15" i="85"/>
  <c r="F15" i="85"/>
  <c r="AA15" i="85" s="1"/>
  <c r="Z14" i="85"/>
  <c r="Y14" i="85"/>
  <c r="X14" i="85"/>
  <c r="T14" i="85"/>
  <c r="P14" i="85"/>
  <c r="AL14" i="86"/>
  <c r="O14" i="85"/>
  <c r="AK14" i="86"/>
  <c r="N14" i="85"/>
  <c r="M14" i="85"/>
  <c r="AI14" i="86"/>
  <c r="K14" i="85"/>
  <c r="AF14" i="85" s="1"/>
  <c r="J14" i="85"/>
  <c r="I14" i="85"/>
  <c r="I17" i="85" s="1"/>
  <c r="H14" i="85"/>
  <c r="G14" i="85"/>
  <c r="F14" i="85"/>
  <c r="AB14" i="85" s="1"/>
  <c r="Y13" i="85"/>
  <c r="X13" i="85"/>
  <c r="Y12" i="85"/>
  <c r="X12" i="85"/>
  <c r="E12" i="85"/>
  <c r="E13" i="85" s="1"/>
  <c r="Z11" i="85"/>
  <c r="Y11" i="85"/>
  <c r="X11" i="85"/>
  <c r="P11" i="85"/>
  <c r="AL11" i="86"/>
  <c r="O11" i="85"/>
  <c r="AN11" i="85" s="1"/>
  <c r="N11" i="85"/>
  <c r="M11" i="85"/>
  <c r="K11" i="85"/>
  <c r="J11" i="85"/>
  <c r="AF11" i="85" s="1"/>
  <c r="I11" i="85"/>
  <c r="H11" i="85"/>
  <c r="G11" i="85"/>
  <c r="F11" i="85"/>
  <c r="AA11" i="85" s="1"/>
  <c r="Z10" i="85"/>
  <c r="Y10" i="85"/>
  <c r="X10" i="85"/>
  <c r="P10" i="85"/>
  <c r="AQ10" i="85" s="1"/>
  <c r="AL10" i="86"/>
  <c r="O10" i="85"/>
  <c r="N10" i="85"/>
  <c r="AM10" i="85" s="1"/>
  <c r="M10" i="85"/>
  <c r="AJ10" i="86"/>
  <c r="K10" i="85"/>
  <c r="AL10" i="85" s="1"/>
  <c r="J10" i="85"/>
  <c r="I10" i="85"/>
  <c r="AE10" i="85" s="1"/>
  <c r="H10" i="85"/>
  <c r="G10" i="85"/>
  <c r="F10" i="85"/>
  <c r="AA10" i="85" s="1"/>
  <c r="Z9" i="85"/>
  <c r="Y9" i="85"/>
  <c r="X9" i="85"/>
  <c r="P9" i="85"/>
  <c r="AL9" i="86"/>
  <c r="O9" i="85"/>
  <c r="N9" i="85"/>
  <c r="AK9" i="86"/>
  <c r="M9" i="85"/>
  <c r="K9" i="85"/>
  <c r="J9" i="85"/>
  <c r="AF9" i="85" s="1"/>
  <c r="I9" i="85"/>
  <c r="H9" i="85"/>
  <c r="G9" i="85"/>
  <c r="F9" i="85"/>
  <c r="Y8" i="85"/>
  <c r="X8" i="85"/>
  <c r="E8" i="85"/>
  <c r="Z8" i="85" s="1"/>
  <c r="Z7" i="85"/>
  <c r="Y7" i="85"/>
  <c r="X7" i="85"/>
  <c r="P7" i="85"/>
  <c r="AL7" i="86"/>
  <c r="O7" i="85"/>
  <c r="AN7" i="85" s="1"/>
  <c r="AK7" i="86"/>
  <c r="N7" i="85"/>
  <c r="AJ8" i="86"/>
  <c r="M7" i="85"/>
  <c r="AI7" i="86"/>
  <c r="K7" i="85"/>
  <c r="J7" i="85"/>
  <c r="I7" i="85"/>
  <c r="H7" i="85"/>
  <c r="AC7" i="85" s="1"/>
  <c r="G7" i="85"/>
  <c r="F7" i="85"/>
  <c r="Z6" i="85"/>
  <c r="Y6" i="85"/>
  <c r="X6" i="85"/>
  <c r="P6" i="85"/>
  <c r="AS6" i="85" s="1"/>
  <c r="O6" i="85"/>
  <c r="AN6" i="85" s="1"/>
  <c r="N6" i="85"/>
  <c r="N8" i="85" s="1"/>
  <c r="AJ6" i="86"/>
  <c r="M6" i="85"/>
  <c r="AM6" i="85" s="1"/>
  <c r="AI6" i="86"/>
  <c r="K6" i="85"/>
  <c r="J6" i="85"/>
  <c r="I6" i="85"/>
  <c r="H6" i="85"/>
  <c r="AC6" i="85" s="1"/>
  <c r="G6" i="85"/>
  <c r="AB6" i="85" s="1"/>
  <c r="F6" i="85"/>
  <c r="AA6" i="85" s="1"/>
  <c r="Z5" i="85"/>
  <c r="Y5" i="85"/>
  <c r="X5" i="85"/>
  <c r="P5" i="85"/>
  <c r="P26" i="85" s="1"/>
  <c r="P35" i="85" s="1"/>
  <c r="AL5" i="86"/>
  <c r="O5" i="85"/>
  <c r="AK5" i="86"/>
  <c r="N5" i="85"/>
  <c r="AJ5" i="86"/>
  <c r="M5" i="85"/>
  <c r="AI5" i="86"/>
  <c r="K5" i="85"/>
  <c r="J5" i="85"/>
  <c r="I5" i="85"/>
  <c r="H5" i="85"/>
  <c r="G5" i="85"/>
  <c r="F5" i="85"/>
  <c r="AA5" i="85" s="1"/>
  <c r="S18" i="69"/>
  <c r="S16" i="69"/>
  <c r="E26" i="69"/>
  <c r="D26" i="69"/>
  <c r="C26" i="69"/>
  <c r="V26" i="69" s="1"/>
  <c r="B26" i="69"/>
  <c r="B35" i="69"/>
  <c r="S15" i="69"/>
  <c r="T15" i="69" s="1"/>
  <c r="B109" i="67"/>
  <c r="B110" i="67"/>
  <c r="C109" i="67"/>
  <c r="C110" i="67"/>
  <c r="B118" i="67"/>
  <c r="F118" i="67" s="1"/>
  <c r="C118" i="67"/>
  <c r="B119" i="67"/>
  <c r="C119" i="67"/>
  <c r="B120" i="67"/>
  <c r="C120" i="67"/>
  <c r="P16" i="69"/>
  <c r="P15" i="69"/>
  <c r="N16" i="69"/>
  <c r="N15" i="69"/>
  <c r="O16" i="69"/>
  <c r="O15" i="69"/>
  <c r="AL15" i="69" s="1"/>
  <c r="M16" i="69"/>
  <c r="AH16" i="69" s="1"/>
  <c r="M15" i="69"/>
  <c r="I15" i="69"/>
  <c r="I16" i="69"/>
  <c r="J16" i="69"/>
  <c r="J15" i="69"/>
  <c r="K16" i="69"/>
  <c r="K15" i="69"/>
  <c r="H15" i="69"/>
  <c r="H16" i="69"/>
  <c r="AB16" i="69" s="1"/>
  <c r="G15" i="69"/>
  <c r="G16" i="69"/>
  <c r="F15" i="69"/>
  <c r="F16" i="69"/>
  <c r="S14" i="69"/>
  <c r="P14" i="69"/>
  <c r="P20" i="69"/>
  <c r="AP20" i="69" s="1"/>
  <c r="P19" i="69"/>
  <c r="P18" i="69"/>
  <c r="T5" i="69"/>
  <c r="S5" i="69" s="1"/>
  <c r="T6" i="69"/>
  <c r="T7" i="69"/>
  <c r="S7" i="69"/>
  <c r="T9" i="69"/>
  <c r="T10" i="69"/>
  <c r="T11" i="69"/>
  <c r="S11" i="69" s="1"/>
  <c r="AP11" i="69" s="1"/>
  <c r="P5" i="69"/>
  <c r="P6" i="69"/>
  <c r="P7" i="69"/>
  <c r="P9" i="69"/>
  <c r="P10" i="69"/>
  <c r="P12" i="69" s="1"/>
  <c r="P11" i="69"/>
  <c r="N5" i="69"/>
  <c r="N6" i="69"/>
  <c r="AL6" i="69" s="1"/>
  <c r="N7" i="69"/>
  <c r="AK7" i="69" s="1"/>
  <c r="N9" i="69"/>
  <c r="N10" i="69"/>
  <c r="N11" i="69"/>
  <c r="N14" i="69"/>
  <c r="N20" i="69"/>
  <c r="N19" i="69"/>
  <c r="N18" i="69"/>
  <c r="AK18" i="69" s="1"/>
  <c r="O5" i="69"/>
  <c r="O6" i="69"/>
  <c r="O7" i="69"/>
  <c r="O9" i="69"/>
  <c r="O10" i="69"/>
  <c r="O11" i="69"/>
  <c r="O14" i="69"/>
  <c r="O20" i="69"/>
  <c r="O19" i="69"/>
  <c r="O18" i="69"/>
  <c r="M5" i="69"/>
  <c r="AG5" i="69" s="1"/>
  <c r="M6" i="69"/>
  <c r="M7" i="69"/>
  <c r="AI7" i="69" s="1"/>
  <c r="M9" i="69"/>
  <c r="M10" i="69"/>
  <c r="AF10" i="69" s="1"/>
  <c r="AG10" i="69"/>
  <c r="M11" i="69"/>
  <c r="M14" i="69"/>
  <c r="M20" i="69"/>
  <c r="M19" i="69"/>
  <c r="M18" i="69"/>
  <c r="I5" i="69"/>
  <c r="I6" i="69"/>
  <c r="I7" i="69"/>
  <c r="AB7" i="69" s="1"/>
  <c r="I9" i="69"/>
  <c r="I10" i="69"/>
  <c r="I11" i="69"/>
  <c r="I14" i="69"/>
  <c r="I18" i="69"/>
  <c r="AB18" i="69" s="1"/>
  <c r="I19" i="69"/>
  <c r="I20" i="69"/>
  <c r="J5" i="69"/>
  <c r="J6" i="69"/>
  <c r="AC6" i="69" s="1"/>
  <c r="J7" i="69"/>
  <c r="J9" i="69"/>
  <c r="J10" i="69"/>
  <c r="J11" i="69"/>
  <c r="J14" i="69"/>
  <c r="J20" i="69"/>
  <c r="J19" i="69"/>
  <c r="J18" i="69"/>
  <c r="AC18" i="69" s="1"/>
  <c r="K5" i="69"/>
  <c r="K6" i="69"/>
  <c r="K7" i="69"/>
  <c r="K9" i="69"/>
  <c r="AF9" i="69" s="1"/>
  <c r="K10" i="69"/>
  <c r="K11" i="69"/>
  <c r="AD11" i="69" s="1"/>
  <c r="K14" i="69"/>
  <c r="K20" i="69"/>
  <c r="AD20" i="69" s="1"/>
  <c r="K19" i="69"/>
  <c r="K18" i="69"/>
  <c r="H5" i="69"/>
  <c r="H6" i="69"/>
  <c r="H8" i="69" s="1"/>
  <c r="H7" i="69"/>
  <c r="H9" i="69"/>
  <c r="H10" i="69"/>
  <c r="AA10" i="69" s="1"/>
  <c r="H11" i="69"/>
  <c r="H14" i="69"/>
  <c r="H18" i="69"/>
  <c r="H19" i="69"/>
  <c r="H20" i="69"/>
  <c r="G5" i="69"/>
  <c r="G6" i="69"/>
  <c r="G7" i="69"/>
  <c r="AA7" i="69" s="1"/>
  <c r="G9" i="69"/>
  <c r="G12" i="69" s="1"/>
  <c r="G10" i="69"/>
  <c r="G11" i="69"/>
  <c r="G14" i="69"/>
  <c r="G18" i="69"/>
  <c r="G19" i="69"/>
  <c r="G20" i="69"/>
  <c r="Z20" i="69" s="1"/>
  <c r="F5" i="69"/>
  <c r="Y5" i="69"/>
  <c r="F6" i="69"/>
  <c r="F7" i="69"/>
  <c r="Y7" i="69" s="1"/>
  <c r="F9" i="69"/>
  <c r="F10" i="69"/>
  <c r="Y10" i="69" s="1"/>
  <c r="F11" i="69"/>
  <c r="F14" i="69"/>
  <c r="Y14" i="69" s="1"/>
  <c r="F18" i="69"/>
  <c r="Y18" i="69"/>
  <c r="F19" i="69"/>
  <c r="F20" i="69"/>
  <c r="B114" i="67"/>
  <c r="J117" i="67" s="1"/>
  <c r="C114" i="67"/>
  <c r="B115" i="67"/>
  <c r="C115" i="67"/>
  <c r="B116" i="67"/>
  <c r="J119" i="67" s="1"/>
  <c r="C116" i="67"/>
  <c r="B117" i="67"/>
  <c r="C117" i="67"/>
  <c r="Q23" i="69"/>
  <c r="Q32" i="69" s="1"/>
  <c r="E8" i="69"/>
  <c r="E12" i="69"/>
  <c r="X12" i="69"/>
  <c r="D23" i="69"/>
  <c r="AU12" i="69" s="1"/>
  <c r="C23" i="69"/>
  <c r="B23" i="69"/>
  <c r="AS6" i="69"/>
  <c r="L11" i="66"/>
  <c r="L26" i="66"/>
  <c r="L12" i="66"/>
  <c r="L27" i="66"/>
  <c r="L28" i="66"/>
  <c r="L13" i="66"/>
  <c r="L14" i="66"/>
  <c r="L29" i="66"/>
  <c r="L44" i="66" s="1"/>
  <c r="L30" i="66"/>
  <c r="L15" i="66"/>
  <c r="L45" i="66" s="1"/>
  <c r="B112" i="67"/>
  <c r="J115" i="67" s="1"/>
  <c r="B100" i="67"/>
  <c r="P106" i="67" s="1"/>
  <c r="S106" i="67" s="1"/>
  <c r="C112" i="67"/>
  <c r="C100" i="67"/>
  <c r="K103" i="67" s="1"/>
  <c r="B111" i="67"/>
  <c r="C111" i="67"/>
  <c r="B106" i="67"/>
  <c r="B107" i="67"/>
  <c r="B108" i="67"/>
  <c r="C106" i="67"/>
  <c r="D106" i="67" s="1"/>
  <c r="C107" i="67"/>
  <c r="G107" i="67" s="1"/>
  <c r="C108" i="67"/>
  <c r="Q114" i="67" s="1"/>
  <c r="T114" i="67" s="1"/>
  <c r="B113" i="67"/>
  <c r="B101" i="67"/>
  <c r="P107" i="67" s="1"/>
  <c r="C113" i="67"/>
  <c r="K116" i="67" s="1"/>
  <c r="C101" i="67"/>
  <c r="K104" i="67" s="1"/>
  <c r="C15" i="79"/>
  <c r="C14" i="79"/>
  <c r="C13" i="79"/>
  <c r="C12" i="79"/>
  <c r="C11" i="79"/>
  <c r="C10" i="79"/>
  <c r="C9" i="79"/>
  <c r="C8" i="79"/>
  <c r="C7" i="79"/>
  <c r="C6" i="79"/>
  <c r="C5" i="79"/>
  <c r="C4" i="79"/>
  <c r="B97" i="67"/>
  <c r="C97" i="67"/>
  <c r="K100" i="67" s="1"/>
  <c r="B103" i="67"/>
  <c r="B104" i="67"/>
  <c r="B105" i="67"/>
  <c r="J108" i="67" s="1"/>
  <c r="C103" i="67"/>
  <c r="C104" i="67"/>
  <c r="C105" i="67"/>
  <c r="B98" i="67"/>
  <c r="C98" i="67"/>
  <c r="Q104" i="67" s="1"/>
  <c r="B99" i="67"/>
  <c r="C99" i="67"/>
  <c r="D99" i="67" s="1"/>
  <c r="H5" i="41"/>
  <c r="I5" i="41"/>
  <c r="J5" i="41"/>
  <c r="K5" i="41"/>
  <c r="E11" i="41"/>
  <c r="K11" i="41"/>
  <c r="M11" i="41"/>
  <c r="E12" i="41"/>
  <c r="K12" i="41"/>
  <c r="M12" i="41"/>
  <c r="E13" i="41"/>
  <c r="K13" i="41"/>
  <c r="M13" i="41"/>
  <c r="E14" i="41"/>
  <c r="K14" i="41"/>
  <c r="E15" i="41"/>
  <c r="K15" i="41"/>
  <c r="E16" i="41"/>
  <c r="K16" i="41"/>
  <c r="E17" i="41"/>
  <c r="K17" i="41"/>
  <c r="E18" i="41"/>
  <c r="K18" i="41"/>
  <c r="E19" i="41"/>
  <c r="K19" i="41"/>
  <c r="E20" i="41"/>
  <c r="K20" i="41"/>
  <c r="E21" i="41"/>
  <c r="K21" i="41"/>
  <c r="E22" i="41"/>
  <c r="K22" i="41"/>
  <c r="E23" i="41"/>
  <c r="I23" i="41"/>
  <c r="O14" i="41" s="1"/>
  <c r="J23" i="41"/>
  <c r="E24" i="41"/>
  <c r="E25" i="41"/>
  <c r="E26" i="41"/>
  <c r="E27" i="41"/>
  <c r="E28" i="41"/>
  <c r="E29" i="41"/>
  <c r="E30" i="41"/>
  <c r="E31" i="41"/>
  <c r="E32" i="41"/>
  <c r="E33" i="41"/>
  <c r="E34" i="41"/>
  <c r="E35" i="41"/>
  <c r="E36" i="41"/>
  <c r="E37" i="41"/>
  <c r="E38" i="41"/>
  <c r="E39" i="41"/>
  <c r="E40" i="41"/>
  <c r="F4" i="66"/>
  <c r="F34" i="66" s="1"/>
  <c r="G4" i="66"/>
  <c r="H4" i="66"/>
  <c r="I4" i="66"/>
  <c r="J4" i="66"/>
  <c r="J34" i="66" s="1"/>
  <c r="K4" i="66"/>
  <c r="L4" i="66"/>
  <c r="F5" i="66"/>
  <c r="G5" i="66"/>
  <c r="G35" i="66" s="1"/>
  <c r="H5" i="66"/>
  <c r="I5" i="66"/>
  <c r="I35" i="66" s="1"/>
  <c r="J5" i="66"/>
  <c r="K5" i="66"/>
  <c r="K35" i="66" s="1"/>
  <c r="L5" i="66"/>
  <c r="F6" i="66"/>
  <c r="G6" i="66"/>
  <c r="H6" i="66"/>
  <c r="H36" i="66" s="1"/>
  <c r="I6" i="66"/>
  <c r="J6" i="66"/>
  <c r="J36" i="66" s="1"/>
  <c r="K6" i="66"/>
  <c r="L6" i="66"/>
  <c r="L36" i="66" s="1"/>
  <c r="F7" i="66"/>
  <c r="G7" i="66"/>
  <c r="H7" i="66"/>
  <c r="I7" i="66"/>
  <c r="I37" i="66" s="1"/>
  <c r="J7" i="66"/>
  <c r="K7" i="66"/>
  <c r="L7" i="66"/>
  <c r="F8" i="66"/>
  <c r="F38" i="66" s="1"/>
  <c r="G8" i="66"/>
  <c r="H8" i="66"/>
  <c r="I8" i="66"/>
  <c r="J8" i="66"/>
  <c r="J38" i="66" s="1"/>
  <c r="K8" i="66"/>
  <c r="L8" i="66"/>
  <c r="L38" i="66" s="1"/>
  <c r="F9" i="66"/>
  <c r="G9" i="66"/>
  <c r="G39" i="66" s="1"/>
  <c r="H9" i="66"/>
  <c r="I9" i="66"/>
  <c r="J9" i="66"/>
  <c r="K9" i="66"/>
  <c r="K39" i="66" s="1"/>
  <c r="L9" i="66"/>
  <c r="F10" i="66"/>
  <c r="G10" i="66"/>
  <c r="H10" i="66"/>
  <c r="H40" i="66" s="1"/>
  <c r="I10" i="66"/>
  <c r="J10" i="66"/>
  <c r="K10" i="66"/>
  <c r="L10" i="66"/>
  <c r="F11" i="66"/>
  <c r="G11" i="66"/>
  <c r="G41" i="66" s="1"/>
  <c r="H11" i="66"/>
  <c r="I11" i="66"/>
  <c r="I41" i="66" s="1"/>
  <c r="J11" i="66"/>
  <c r="K11" i="66"/>
  <c r="F12" i="66"/>
  <c r="G12" i="66"/>
  <c r="G42" i="66" s="1"/>
  <c r="H12" i="66"/>
  <c r="I12" i="66"/>
  <c r="J12" i="66"/>
  <c r="K12" i="66"/>
  <c r="K42" i="66" s="1"/>
  <c r="F13" i="66"/>
  <c r="G13" i="66"/>
  <c r="H13" i="66"/>
  <c r="I13" i="66"/>
  <c r="I43" i="66" s="1"/>
  <c r="J13" i="66"/>
  <c r="K13" i="66"/>
  <c r="F14" i="66"/>
  <c r="G14" i="66"/>
  <c r="G44" i="66" s="1"/>
  <c r="H14" i="66"/>
  <c r="I14" i="66"/>
  <c r="J14" i="66"/>
  <c r="K14" i="66"/>
  <c r="K44" i="66" s="1"/>
  <c r="F15" i="66"/>
  <c r="G15" i="66"/>
  <c r="H15" i="66"/>
  <c r="I15" i="66"/>
  <c r="I45" i="66" s="1"/>
  <c r="J15" i="66"/>
  <c r="K15" i="66"/>
  <c r="F19" i="66"/>
  <c r="G19" i="66"/>
  <c r="G34" i="66" s="1"/>
  <c r="H19" i="66"/>
  <c r="I19" i="66"/>
  <c r="J19" i="66"/>
  <c r="K19" i="66"/>
  <c r="L19" i="66"/>
  <c r="F20" i="66"/>
  <c r="G20" i="66"/>
  <c r="H20" i="66"/>
  <c r="I20" i="66"/>
  <c r="J20" i="66"/>
  <c r="K20" i="66"/>
  <c r="L20" i="66"/>
  <c r="F21" i="66"/>
  <c r="G21" i="66"/>
  <c r="H21" i="66"/>
  <c r="I21" i="66"/>
  <c r="I36" i="66" s="1"/>
  <c r="J21" i="66"/>
  <c r="K21" i="66"/>
  <c r="L21" i="66"/>
  <c r="F22" i="66"/>
  <c r="G22" i="66"/>
  <c r="H22" i="66"/>
  <c r="I22" i="66"/>
  <c r="J22" i="66"/>
  <c r="K22" i="66"/>
  <c r="L22" i="66"/>
  <c r="F23" i="66"/>
  <c r="G23" i="66"/>
  <c r="H23" i="66"/>
  <c r="I23" i="66"/>
  <c r="J23" i="66"/>
  <c r="K23" i="66"/>
  <c r="L23" i="66"/>
  <c r="F24" i="66"/>
  <c r="G24" i="66"/>
  <c r="H24" i="66"/>
  <c r="I24" i="66"/>
  <c r="J24" i="66"/>
  <c r="K24" i="66"/>
  <c r="L24" i="66"/>
  <c r="L39" i="66" s="1"/>
  <c r="F25" i="66"/>
  <c r="G25" i="66"/>
  <c r="H25" i="66"/>
  <c r="I25" i="66"/>
  <c r="J25" i="66"/>
  <c r="K25" i="66"/>
  <c r="L25" i="66"/>
  <c r="F26" i="66"/>
  <c r="G26" i="66"/>
  <c r="H26" i="66"/>
  <c r="I26" i="66"/>
  <c r="J26" i="66"/>
  <c r="K26" i="66"/>
  <c r="F27" i="66"/>
  <c r="G27" i="66"/>
  <c r="H27" i="66"/>
  <c r="H42" i="66" s="1"/>
  <c r="I27" i="66"/>
  <c r="J27" i="66"/>
  <c r="K27" i="66"/>
  <c r="F28" i="66"/>
  <c r="G28" i="66"/>
  <c r="H28" i="66"/>
  <c r="I28" i="66"/>
  <c r="J28" i="66"/>
  <c r="J43" i="66" s="1"/>
  <c r="K28" i="66"/>
  <c r="F29" i="66"/>
  <c r="G29" i="66"/>
  <c r="H29" i="66"/>
  <c r="I29" i="66"/>
  <c r="J29" i="66"/>
  <c r="K29" i="66"/>
  <c r="F30" i="66"/>
  <c r="G30" i="66"/>
  <c r="H30" i="66"/>
  <c r="I30" i="66"/>
  <c r="J30" i="66"/>
  <c r="K30" i="66"/>
  <c r="B34" i="66"/>
  <c r="C34" i="66"/>
  <c r="D34" i="66"/>
  <c r="E34" i="66"/>
  <c r="B35" i="66"/>
  <c r="C35" i="66"/>
  <c r="D35" i="66"/>
  <c r="E35" i="66"/>
  <c r="B36" i="66"/>
  <c r="C36" i="66"/>
  <c r="D36" i="66"/>
  <c r="E36" i="66"/>
  <c r="B37" i="66"/>
  <c r="C37" i="66"/>
  <c r="D37" i="66"/>
  <c r="E37" i="66"/>
  <c r="B38" i="66"/>
  <c r="C38" i="66"/>
  <c r="D38" i="66"/>
  <c r="E38" i="66"/>
  <c r="B39" i="66"/>
  <c r="C39" i="66"/>
  <c r="D39" i="66"/>
  <c r="E39" i="66"/>
  <c r="B40" i="66"/>
  <c r="C40" i="66"/>
  <c r="D40" i="66"/>
  <c r="E40" i="66"/>
  <c r="B41" i="66"/>
  <c r="C41" i="66"/>
  <c r="D41" i="66"/>
  <c r="E41" i="66"/>
  <c r="B42" i="66"/>
  <c r="C42" i="66"/>
  <c r="D42" i="66"/>
  <c r="E42" i="66"/>
  <c r="B43" i="66"/>
  <c r="C43" i="66"/>
  <c r="D43" i="66"/>
  <c r="E43" i="66"/>
  <c r="B44" i="66"/>
  <c r="C44" i="66"/>
  <c r="D44" i="66"/>
  <c r="E44" i="66"/>
  <c r="B45" i="66"/>
  <c r="C45" i="66"/>
  <c r="D45" i="66"/>
  <c r="E45" i="66"/>
  <c r="B5" i="67"/>
  <c r="C5" i="67"/>
  <c r="B6" i="67"/>
  <c r="D6" i="67" s="1"/>
  <c r="C6" i="67"/>
  <c r="B7" i="67"/>
  <c r="C7" i="67"/>
  <c r="B8" i="67"/>
  <c r="C8" i="67"/>
  <c r="B9" i="67"/>
  <c r="C9" i="67"/>
  <c r="B10" i="67"/>
  <c r="D10" i="67" s="1"/>
  <c r="C10" i="67"/>
  <c r="B11" i="67"/>
  <c r="C11" i="67"/>
  <c r="B12" i="67"/>
  <c r="C12" i="67"/>
  <c r="B13" i="67"/>
  <c r="C13" i="67"/>
  <c r="B14" i="67"/>
  <c r="D14" i="67" s="1"/>
  <c r="C14" i="67"/>
  <c r="B15" i="67"/>
  <c r="C15" i="67"/>
  <c r="B16" i="67"/>
  <c r="C16" i="67"/>
  <c r="B17" i="67"/>
  <c r="J20" i="67" s="1"/>
  <c r="C17" i="67"/>
  <c r="Q23" i="67" s="1"/>
  <c r="T23" i="67" s="1"/>
  <c r="B18" i="67"/>
  <c r="C18" i="67"/>
  <c r="Q24" i="67" s="1"/>
  <c r="B19" i="67"/>
  <c r="J22" i="67" s="1"/>
  <c r="C19" i="67"/>
  <c r="B20" i="67"/>
  <c r="J23" i="67" s="1"/>
  <c r="M23" i="67" s="1"/>
  <c r="C20" i="67"/>
  <c r="B21" i="67"/>
  <c r="C21" i="67"/>
  <c r="B22" i="67"/>
  <c r="M22" i="67" s="1"/>
  <c r="C22" i="67"/>
  <c r="B23" i="67"/>
  <c r="C23" i="67"/>
  <c r="B24" i="67"/>
  <c r="C24" i="67"/>
  <c r="B25" i="67"/>
  <c r="C25" i="67"/>
  <c r="B26" i="67"/>
  <c r="D26" i="67" s="1"/>
  <c r="C26" i="67"/>
  <c r="K29" i="67" s="1"/>
  <c r="B27" i="67"/>
  <c r="C27" i="67"/>
  <c r="Q33" i="67" s="1"/>
  <c r="B28" i="67"/>
  <c r="C28" i="67"/>
  <c r="K31" i="67" s="1"/>
  <c r="B29" i="67"/>
  <c r="C29" i="67"/>
  <c r="K32" i="67" s="1"/>
  <c r="G29" i="67"/>
  <c r="B30" i="67"/>
  <c r="C30" i="67"/>
  <c r="B31" i="67"/>
  <c r="C31" i="67"/>
  <c r="B32" i="67"/>
  <c r="P38" i="67" s="1"/>
  <c r="C32" i="67"/>
  <c r="B33" i="67"/>
  <c r="C33" i="67"/>
  <c r="K36" i="67" s="1"/>
  <c r="N36" i="67" s="1"/>
  <c r="B34" i="67"/>
  <c r="P40" i="67" s="1"/>
  <c r="S40" i="67" s="1"/>
  <c r="C34" i="67"/>
  <c r="T34" i="67" s="1"/>
  <c r="B35" i="67"/>
  <c r="C35" i="67"/>
  <c r="Q41" i="67" s="1"/>
  <c r="B36" i="67"/>
  <c r="J39" i="67" s="1"/>
  <c r="M39" i="67" s="1"/>
  <c r="C36" i="67"/>
  <c r="K39" i="67" s="1"/>
  <c r="N39" i="67" s="1"/>
  <c r="B37" i="67"/>
  <c r="J40" i="67" s="1"/>
  <c r="M40" i="67" s="1"/>
  <c r="C37" i="67"/>
  <c r="B38" i="67"/>
  <c r="C38" i="67"/>
  <c r="B39" i="67"/>
  <c r="C39" i="67"/>
  <c r="K42" i="67" s="1"/>
  <c r="B40" i="67"/>
  <c r="J43" i="67" s="1"/>
  <c r="M43" i="67" s="1"/>
  <c r="C40" i="67"/>
  <c r="K43" i="67" s="1"/>
  <c r="N43" i="67" s="1"/>
  <c r="B41" i="67"/>
  <c r="C41" i="67"/>
  <c r="K44" i="67" s="1"/>
  <c r="B42" i="67"/>
  <c r="C42" i="67"/>
  <c r="B43" i="67"/>
  <c r="C43" i="67"/>
  <c r="Q49" i="67" s="1"/>
  <c r="B44" i="67"/>
  <c r="P50" i="67" s="1"/>
  <c r="C44" i="67"/>
  <c r="K47" i="67" s="1"/>
  <c r="B45" i="67"/>
  <c r="J48" i="67" s="1"/>
  <c r="M48" i="67" s="1"/>
  <c r="C45" i="67"/>
  <c r="K48" i="67" s="1"/>
  <c r="B46" i="67"/>
  <c r="J49" i="67" s="1"/>
  <c r="C46" i="67"/>
  <c r="B47" i="67"/>
  <c r="C47" i="67"/>
  <c r="B48" i="67"/>
  <c r="C48" i="67"/>
  <c r="Q55" i="67" s="1"/>
  <c r="T55" i="67" s="1"/>
  <c r="B49" i="67"/>
  <c r="C49" i="67"/>
  <c r="B50" i="67"/>
  <c r="C50" i="67"/>
  <c r="K54" i="67" s="1"/>
  <c r="B51" i="67"/>
  <c r="C51" i="67"/>
  <c r="B52" i="67"/>
  <c r="J56" i="67" s="1"/>
  <c r="M56" i="67" s="1"/>
  <c r="C52" i="67"/>
  <c r="T52" i="67" s="1"/>
  <c r="B54" i="67"/>
  <c r="J57" i="67" s="1"/>
  <c r="M57" i="67" s="1"/>
  <c r="C54" i="67"/>
  <c r="B55" i="67"/>
  <c r="C55" i="67"/>
  <c r="K58" i="67" s="1"/>
  <c r="B56" i="67"/>
  <c r="C56" i="67"/>
  <c r="G56" i="67" s="1"/>
  <c r="B57" i="67"/>
  <c r="C57" i="67"/>
  <c r="B58" i="67"/>
  <c r="C58" i="67"/>
  <c r="B59" i="67"/>
  <c r="J62" i="67" s="1"/>
  <c r="C59" i="67"/>
  <c r="G71" i="67" s="1"/>
  <c r="B60" i="67"/>
  <c r="J63" i="67" s="1"/>
  <c r="F60" i="67"/>
  <c r="C60" i="67"/>
  <c r="Q66" i="67" s="1"/>
  <c r="B61" i="67"/>
  <c r="C61" i="67"/>
  <c r="B62" i="67"/>
  <c r="C62" i="67"/>
  <c r="K65" i="67" s="1"/>
  <c r="B63" i="67"/>
  <c r="P69" i="67" s="1"/>
  <c r="C63" i="67"/>
  <c r="Q69" i="67" s="1"/>
  <c r="B64" i="67"/>
  <c r="C64" i="67"/>
  <c r="B65" i="67"/>
  <c r="C65" i="67"/>
  <c r="B66" i="67"/>
  <c r="P72" i="67" s="1"/>
  <c r="C66" i="67"/>
  <c r="B67" i="67"/>
  <c r="C67" i="67"/>
  <c r="B68" i="67"/>
  <c r="J71" i="67" s="1"/>
  <c r="C68" i="67"/>
  <c r="B69" i="67"/>
  <c r="J72" i="67" s="1"/>
  <c r="C69" i="67"/>
  <c r="K72" i="67" s="1"/>
  <c r="N72" i="67" s="1"/>
  <c r="B70" i="67"/>
  <c r="D70" i="67" s="1"/>
  <c r="C70" i="67"/>
  <c r="B71" i="67"/>
  <c r="P77" i="67" s="1"/>
  <c r="C71" i="67"/>
  <c r="K74" i="67" s="1"/>
  <c r="B72" i="67"/>
  <c r="F72" i="67" s="1"/>
  <c r="C72" i="67"/>
  <c r="G72" i="67" s="1"/>
  <c r="B73" i="67"/>
  <c r="F73" i="67" s="1"/>
  <c r="C73" i="67"/>
  <c r="B74" i="67"/>
  <c r="C74" i="67"/>
  <c r="B75" i="67"/>
  <c r="P81" i="67" s="1"/>
  <c r="S81" i="67" s="1"/>
  <c r="C75" i="67"/>
  <c r="K78" i="67" s="1"/>
  <c r="C76" i="67"/>
  <c r="C77" i="67"/>
  <c r="B78" i="67"/>
  <c r="J81" i="67" s="1"/>
  <c r="M81" i="67" s="1"/>
  <c r="C78" i="67"/>
  <c r="N78" i="67" s="1"/>
  <c r="B79" i="67"/>
  <c r="F79" i="67" s="1"/>
  <c r="C79" i="67"/>
  <c r="B80" i="67"/>
  <c r="C80" i="67"/>
  <c r="B81" i="67"/>
  <c r="C81" i="67"/>
  <c r="K84" i="67" s="1"/>
  <c r="B82" i="67"/>
  <c r="C82" i="67"/>
  <c r="B83" i="67"/>
  <c r="J86" i="67" s="1"/>
  <c r="C83" i="67"/>
  <c r="B84" i="67"/>
  <c r="J87" i="67" s="1"/>
  <c r="C84" i="67"/>
  <c r="Q90" i="67" s="1"/>
  <c r="B85" i="67"/>
  <c r="J88" i="67" s="1"/>
  <c r="C85" i="67"/>
  <c r="K88" i="67" s="1"/>
  <c r="B86" i="67"/>
  <c r="C86" i="67"/>
  <c r="B87" i="67"/>
  <c r="C87" i="67"/>
  <c r="B88" i="67"/>
  <c r="C88" i="67"/>
  <c r="Q94" i="67" s="1"/>
  <c r="B89" i="67"/>
  <c r="C89" i="67"/>
  <c r="B90" i="67"/>
  <c r="F90" i="67"/>
  <c r="C90" i="67"/>
  <c r="B91" i="67"/>
  <c r="C91" i="67"/>
  <c r="K94" i="67" s="1"/>
  <c r="B92" i="67"/>
  <c r="J95" i="67" s="1"/>
  <c r="C92" i="67"/>
  <c r="Q98" i="67" s="1"/>
  <c r="B93" i="67"/>
  <c r="C93" i="67"/>
  <c r="B94" i="67"/>
  <c r="C94" i="67"/>
  <c r="B95" i="67"/>
  <c r="C95" i="67"/>
  <c r="B96" i="67"/>
  <c r="C96" i="67"/>
  <c r="D96" i="67" s="1"/>
  <c r="B102" i="67"/>
  <c r="C102" i="67"/>
  <c r="K105" i="67" s="1"/>
  <c r="V5" i="69"/>
  <c r="W5" i="69"/>
  <c r="X5" i="69"/>
  <c r="V6" i="69"/>
  <c r="W6" i="69"/>
  <c r="X6" i="69"/>
  <c r="V7" i="69"/>
  <c r="W7" i="69"/>
  <c r="X7" i="69"/>
  <c r="V8" i="69"/>
  <c r="W8" i="69"/>
  <c r="V9" i="69"/>
  <c r="W9" i="69"/>
  <c r="X9" i="69"/>
  <c r="V10" i="69"/>
  <c r="W10" i="69"/>
  <c r="X10" i="69"/>
  <c r="V11" i="69"/>
  <c r="W11" i="69"/>
  <c r="X11" i="69"/>
  <c r="V12" i="69"/>
  <c r="W12" i="69"/>
  <c r="V13" i="69"/>
  <c r="W13" i="69"/>
  <c r="V14" i="69"/>
  <c r="W14" i="69"/>
  <c r="X14" i="69"/>
  <c r="V15" i="69"/>
  <c r="W15" i="69"/>
  <c r="X15" i="69"/>
  <c r="V16" i="69"/>
  <c r="W16" i="69"/>
  <c r="X16" i="69"/>
  <c r="V17" i="69"/>
  <c r="W17" i="69"/>
  <c r="X17" i="69"/>
  <c r="V18" i="69"/>
  <c r="W18" i="69"/>
  <c r="X18" i="69"/>
  <c r="V19" i="69"/>
  <c r="W19" i="69"/>
  <c r="X19" i="69"/>
  <c r="V20" i="69"/>
  <c r="W20" i="69"/>
  <c r="X20" i="69"/>
  <c r="V21" i="69"/>
  <c r="W21" i="69"/>
  <c r="X21" i="69"/>
  <c r="B22" i="69"/>
  <c r="AS22" i="69" s="1"/>
  <c r="C22" i="69"/>
  <c r="D22" i="69"/>
  <c r="E22" i="69"/>
  <c r="B24" i="69"/>
  <c r="C24" i="69"/>
  <c r="C33" i="69" s="1"/>
  <c r="D24" i="69"/>
  <c r="E24" i="69"/>
  <c r="L32" i="69"/>
  <c r="BG24" i="69"/>
  <c r="BG25" i="69"/>
  <c r="AL12" i="86"/>
  <c r="AI11" i="86"/>
  <c r="AJ11" i="86"/>
  <c r="AL15" i="86"/>
  <c r="AJ9" i="86"/>
  <c r="AI9" i="86"/>
  <c r="AJ19" i="86"/>
  <c r="AL19" i="86"/>
  <c r="AJ21" i="86"/>
  <c r="AJ13" i="86"/>
  <c r="AI13" i="86"/>
  <c r="AI8" i="86"/>
  <c r="AL8" i="86"/>
  <c r="AL17" i="86"/>
  <c r="AI12" i="86"/>
  <c r="AJ12" i="86"/>
  <c r="AK16" i="86"/>
  <c r="AL21" i="86"/>
  <c r="AI17" i="86"/>
  <c r="AK12" i="86"/>
  <c r="AK21" i="86"/>
  <c r="AI21" i="86"/>
  <c r="AL6" i="86"/>
  <c r="AJ7" i="86"/>
  <c r="AK11" i="86"/>
  <c r="AL20" i="86"/>
  <c r="AK10" i="86"/>
  <c r="AI10" i="86"/>
  <c r="AK15" i="86"/>
  <c r="AJ20" i="86"/>
  <c r="AJ18" i="86"/>
  <c r="AJ16" i="86"/>
  <c r="AJ14" i="86"/>
  <c r="AK8" i="86"/>
  <c r="AJ22" i="86"/>
  <c r="AK23" i="86"/>
  <c r="AL13" i="86"/>
  <c r="AK13" i="86"/>
  <c r="AI22" i="86"/>
  <c r="AK22" i="86"/>
  <c r="AK17" i="86"/>
  <c r="AJ17" i="86"/>
  <c r="AI23" i="86"/>
  <c r="AL22" i="86"/>
  <c r="AJ23" i="86"/>
  <c r="AL23" i="86"/>
  <c r="Q23" i="85"/>
  <c r="Q32" i="85" s="1"/>
  <c r="AS5" i="69"/>
  <c r="B32" i="69"/>
  <c r="AS11" i="69"/>
  <c r="AS17" i="69"/>
  <c r="AS9" i="69"/>
  <c r="AJ10" i="69"/>
  <c r="AX8" i="85"/>
  <c r="K20" i="67"/>
  <c r="AG9" i="69"/>
  <c r="AM6" i="69"/>
  <c r="C35" i="69"/>
  <c r="D35" i="86"/>
  <c r="AO9" i="86"/>
  <c r="AI9" i="69"/>
  <c r="AE7" i="86"/>
  <c r="AS19" i="86"/>
  <c r="J106" i="67"/>
  <c r="M106" i="67" s="1"/>
  <c r="AV19" i="85"/>
  <c r="Y11" i="69"/>
  <c r="J118" i="67"/>
  <c r="I42" i="66"/>
  <c r="F40" i="66"/>
  <c r="D56" i="67"/>
  <c r="AE14" i="85"/>
  <c r="H34" i="66"/>
  <c r="K83" i="67"/>
  <c r="J111" i="67"/>
  <c r="M111" i="67" s="1"/>
  <c r="AH14" i="86"/>
  <c r="K25" i="67"/>
  <c r="K21" i="67"/>
  <c r="AO14" i="85"/>
  <c r="AU20" i="69"/>
  <c r="AS15" i="86"/>
  <c r="F113" i="67"/>
  <c r="K92" i="67"/>
  <c r="Q83" i="67"/>
  <c r="D39" i="67"/>
  <c r="D113" i="67"/>
  <c r="G76" i="67"/>
  <c r="Q68" i="67"/>
  <c r="T68" i="67" s="1"/>
  <c r="Q32" i="67"/>
  <c r="K114" i="67"/>
  <c r="N114" i="67" s="1"/>
  <c r="J102" i="67"/>
  <c r="P65" i="67"/>
  <c r="J38" i="67"/>
  <c r="AS9" i="85"/>
  <c r="AD10" i="86"/>
  <c r="J116" i="67"/>
  <c r="P119" i="67"/>
  <c r="K95" i="67"/>
  <c r="Q95" i="67"/>
  <c r="K80" i="67"/>
  <c r="Q81" i="67"/>
  <c r="T81" i="67" s="1"/>
  <c r="G63" i="67"/>
  <c r="K59" i="67"/>
  <c r="Q58" i="67"/>
  <c r="J35" i="67"/>
  <c r="J101" i="67"/>
  <c r="D98" i="67"/>
  <c r="P104" i="67"/>
  <c r="J99" i="67"/>
  <c r="M99" i="67" s="1"/>
  <c r="D97" i="67"/>
  <c r="AS14" i="69"/>
  <c r="AS16" i="69"/>
  <c r="AS10" i="69"/>
  <c r="AS20" i="69"/>
  <c r="Q119" i="67"/>
  <c r="D114" i="67"/>
  <c r="Y20" i="69"/>
  <c r="Y15" i="69"/>
  <c r="D34" i="86"/>
  <c r="D25" i="86"/>
  <c r="AZ7" i="86"/>
  <c r="H8" i="86"/>
  <c r="AF5" i="86"/>
  <c r="J104" i="67"/>
  <c r="D72" i="67"/>
  <c r="F68" i="67"/>
  <c r="M71" i="67"/>
  <c r="J46" i="67"/>
  <c r="Q28" i="67"/>
  <c r="T28" i="67" s="1"/>
  <c r="J114" i="67"/>
  <c r="M114" i="67" s="1"/>
  <c r="P117" i="67"/>
  <c r="AW11" i="85"/>
  <c r="AY17" i="86"/>
  <c r="C34" i="86"/>
  <c r="B37" i="86"/>
  <c r="AM20" i="86"/>
  <c r="AH15" i="86"/>
  <c r="N74" i="67"/>
  <c r="K49" i="67"/>
  <c r="F39" i="67"/>
  <c r="AZ24" i="86"/>
  <c r="AS23" i="69"/>
  <c r="AS18" i="69"/>
  <c r="AS7" i="69"/>
  <c r="AS12" i="69"/>
  <c r="Q52" i="67"/>
  <c r="D92" i="67"/>
  <c r="D35" i="67"/>
  <c r="K66" i="67"/>
  <c r="N66" i="67" s="1"/>
  <c r="AH18" i="69"/>
  <c r="F45" i="67"/>
  <c r="J44" i="67"/>
  <c r="J42" i="67"/>
  <c r="F35" i="67"/>
  <c r="AN15" i="86"/>
  <c r="AS21" i="69"/>
  <c r="AS13" i="69"/>
  <c r="AS15" i="69"/>
  <c r="D88" i="67"/>
  <c r="G36" i="67"/>
  <c r="P109" i="67"/>
  <c r="AJ18" i="69"/>
  <c r="P94" i="67"/>
  <c r="J97" i="67"/>
  <c r="M97" i="67" s="1"/>
  <c r="Q73" i="67"/>
  <c r="Q48" i="67"/>
  <c r="K120" i="67"/>
  <c r="K71" i="67"/>
  <c r="D118" i="67"/>
  <c r="J73" i="67"/>
  <c r="J74" i="67"/>
  <c r="P112" i="67"/>
  <c r="J109" i="67"/>
  <c r="P120" i="67"/>
  <c r="AS10" i="86"/>
  <c r="S10" i="86"/>
  <c r="AV10" i="86"/>
  <c r="J120" i="67"/>
  <c r="G92" i="67"/>
  <c r="G67" i="67"/>
  <c r="AL9" i="85"/>
  <c r="AL14" i="85"/>
  <c r="AM20" i="85"/>
  <c r="F8" i="85"/>
  <c r="AA8" i="85" s="1"/>
  <c r="AW9" i="85"/>
  <c r="AW16" i="85"/>
  <c r="AW21" i="85"/>
  <c r="AW23" i="85"/>
  <c r="AW12" i="85"/>
  <c r="AW5" i="85"/>
  <c r="AE16" i="85"/>
  <c r="AS11" i="85"/>
  <c r="AN5" i="85"/>
  <c r="G8" i="85"/>
  <c r="AM7" i="85"/>
  <c r="AF10" i="85"/>
  <c r="AD15" i="85"/>
  <c r="AE15" i="85"/>
  <c r="AS15" i="85"/>
  <c r="AO16" i="85"/>
  <c r="P17" i="85"/>
  <c r="AB18" i="85"/>
  <c r="AA18" i="85"/>
  <c r="AM19" i="85"/>
  <c r="AA20" i="85"/>
  <c r="D27" i="85"/>
  <c r="D35" i="85"/>
  <c r="Y26" i="85"/>
  <c r="AQ14" i="85"/>
  <c r="AQ16" i="85"/>
  <c r="O22" i="41"/>
  <c r="G62" i="67"/>
  <c r="K64" i="67"/>
  <c r="N64" i="67" s="1"/>
  <c r="P59" i="67"/>
  <c r="S59" i="67" s="1"/>
  <c r="J51" i="67"/>
  <c r="M51" i="67" s="1"/>
  <c r="Q34" i="67"/>
  <c r="K34" i="67"/>
  <c r="P36" i="67"/>
  <c r="S36" i="67" s="1"/>
  <c r="J33" i="67"/>
  <c r="P33" i="67"/>
  <c r="J30" i="67"/>
  <c r="M30" i="67" s="1"/>
  <c r="Q103" i="67"/>
  <c r="D84" i="67"/>
  <c r="K87" i="67"/>
  <c r="Q85" i="67"/>
  <c r="T85" i="67" s="1"/>
  <c r="Q86" i="67"/>
  <c r="P86" i="67"/>
  <c r="G88" i="67"/>
  <c r="K77" i="67"/>
  <c r="N77" i="67" s="1"/>
  <c r="P101" i="67"/>
  <c r="P102" i="67"/>
  <c r="F96" i="67"/>
  <c r="P95" i="67"/>
  <c r="D91" i="67"/>
  <c r="F103" i="67"/>
  <c r="Q77" i="67"/>
  <c r="J50" i="67"/>
  <c r="P54" i="67"/>
  <c r="P51" i="67"/>
  <c r="S51" i="67" s="1"/>
  <c r="P49" i="67"/>
  <c r="S49" i="67" s="1"/>
  <c r="L40" i="66"/>
  <c r="Q91" i="67"/>
  <c r="G89" i="67"/>
  <c r="K70" i="67"/>
  <c r="N70" i="67" s="1"/>
  <c r="G68" i="67"/>
  <c r="D63" i="67"/>
  <c r="G75" i="67"/>
  <c r="J55" i="67"/>
  <c r="F51" i="67"/>
  <c r="P58" i="67"/>
  <c r="G43" i="67"/>
  <c r="P90" i="67"/>
  <c r="J59" i="67"/>
  <c r="M59" i="67" s="1"/>
  <c r="Q57" i="67"/>
  <c r="P46" i="67"/>
  <c r="P45" i="67"/>
  <c r="J41" i="67"/>
  <c r="F48" i="67"/>
  <c r="P42" i="67"/>
  <c r="J37" i="67"/>
  <c r="AY14" i="86"/>
  <c r="J6" i="41"/>
  <c r="B16" i="79"/>
  <c r="C16" i="79" s="1"/>
  <c r="L6" i="41"/>
  <c r="L7" i="41" s="1"/>
  <c r="I6" i="41"/>
  <c r="H6" i="41"/>
  <c r="B17" i="79"/>
  <c r="C17" i="79" s="1"/>
  <c r="L5" i="41"/>
  <c r="K6" i="41"/>
  <c r="D94" i="67" l="1"/>
  <c r="S94" i="67"/>
  <c r="D61" i="67"/>
  <c r="G61" i="67"/>
  <c r="Q67" i="67"/>
  <c r="T67" i="67" s="1"/>
  <c r="P64" i="67"/>
  <c r="S64" i="67" s="1"/>
  <c r="J61" i="67"/>
  <c r="M61" i="67" s="1"/>
  <c r="D58" i="67"/>
  <c r="J52" i="67"/>
  <c r="M52" i="67" s="1"/>
  <c r="P56" i="67"/>
  <c r="S56" i="67" s="1"/>
  <c r="P39" i="67"/>
  <c r="S39" i="67" s="1"/>
  <c r="J36" i="67"/>
  <c r="M36" i="67" s="1"/>
  <c r="Q27" i="67"/>
  <c r="N21" i="67"/>
  <c r="J21" i="69"/>
  <c r="AD19" i="69"/>
  <c r="J8" i="69"/>
  <c r="AM16" i="85"/>
  <c r="AL18" i="85"/>
  <c r="AF18" i="85"/>
  <c r="AS18" i="85"/>
  <c r="AV21" i="85"/>
  <c r="T57" i="67"/>
  <c r="Q63" i="67"/>
  <c r="T63" i="67" s="1"/>
  <c r="K35" i="67"/>
  <c r="N35" i="67" s="1"/>
  <c r="Q38" i="67"/>
  <c r="P20" i="41"/>
  <c r="P18" i="41"/>
  <c r="P21" i="41"/>
  <c r="S10" i="69"/>
  <c r="AQ10" i="69"/>
  <c r="T18" i="69"/>
  <c r="S21" i="69"/>
  <c r="AE111" i="87"/>
  <c r="K97" i="67"/>
  <c r="Q100" i="67"/>
  <c r="T100" i="67" s="1"/>
  <c r="K93" i="67"/>
  <c r="Q96" i="67"/>
  <c r="T96" i="67" s="1"/>
  <c r="T90" i="67"/>
  <c r="J90" i="67"/>
  <c r="F99" i="67"/>
  <c r="J65" i="67"/>
  <c r="P68" i="67"/>
  <c r="T58" i="67"/>
  <c r="K61" i="67"/>
  <c r="Q64" i="67"/>
  <c r="Q60" i="67"/>
  <c r="K57" i="67"/>
  <c r="N57" i="67" s="1"/>
  <c r="AO19" i="85"/>
  <c r="AS19" i="85"/>
  <c r="AT118" i="87"/>
  <c r="I119" i="87"/>
  <c r="AT119" i="87" s="1"/>
  <c r="C135" i="87"/>
  <c r="X128" i="87"/>
  <c r="AT10" i="85"/>
  <c r="F87" i="67"/>
  <c r="N17" i="86"/>
  <c r="P17" i="86"/>
  <c r="J21" i="86"/>
  <c r="C130" i="87"/>
  <c r="P80" i="67"/>
  <c r="S80" i="67" s="1"/>
  <c r="AT13" i="69"/>
  <c r="C27" i="69"/>
  <c r="AT18" i="69"/>
  <c r="AT11" i="69"/>
  <c r="AV9" i="85"/>
  <c r="AV15" i="85"/>
  <c r="AV17" i="85"/>
  <c r="AV11" i="85"/>
  <c r="AV8" i="85"/>
  <c r="AV18" i="85"/>
  <c r="AV13" i="85"/>
  <c r="B32" i="85"/>
  <c r="C45" i="87"/>
  <c r="C40" i="87"/>
  <c r="AN105" i="87"/>
  <c r="X105" i="87"/>
  <c r="C107" i="87"/>
  <c r="C112" i="87"/>
  <c r="P89" i="67"/>
  <c r="N105" i="67"/>
  <c r="P71" i="67"/>
  <c r="J68" i="67"/>
  <c r="P93" i="67"/>
  <c r="Q59" i="67"/>
  <c r="AV10" i="85"/>
  <c r="M64" i="67"/>
  <c r="AL104" i="87"/>
  <c r="AU43" i="87"/>
  <c r="AU45" i="87"/>
  <c r="G12" i="86"/>
  <c r="AB9" i="86"/>
  <c r="AD118" i="87"/>
  <c r="H119" i="87"/>
  <c r="G70" i="67"/>
  <c r="AL20" i="85"/>
  <c r="K21" i="85"/>
  <c r="P67" i="67"/>
  <c r="J64" i="67"/>
  <c r="AS10" i="85"/>
  <c r="S45" i="67"/>
  <c r="P85" i="67"/>
  <c r="D52" i="67"/>
  <c r="K111" i="67"/>
  <c r="N111" i="67" s="1"/>
  <c r="K56" i="67"/>
  <c r="N56" i="67" s="1"/>
  <c r="N29" i="67"/>
  <c r="AV7" i="85"/>
  <c r="S17" i="69"/>
  <c r="AP16" i="69"/>
  <c r="H106" i="67"/>
  <c r="J82" i="67"/>
  <c r="S33" i="67"/>
  <c r="D62" i="67"/>
  <c r="G57" i="67"/>
  <c r="AV23" i="85"/>
  <c r="AI10" i="69"/>
  <c r="AQ15" i="85"/>
  <c r="U17" i="85"/>
  <c r="AQ17" i="85" s="1"/>
  <c r="R54" i="87"/>
  <c r="Q115" i="67"/>
  <c r="G109" i="67"/>
  <c r="K112" i="67"/>
  <c r="D37" i="86"/>
  <c r="Y26" i="86"/>
  <c r="S86" i="67"/>
  <c r="J92" i="67"/>
  <c r="D89" i="67"/>
  <c r="F81" i="67"/>
  <c r="K55" i="67"/>
  <c r="N55" i="67" s="1"/>
  <c r="G51" i="67"/>
  <c r="K117" i="67"/>
  <c r="Q120" i="67"/>
  <c r="AI18" i="69"/>
  <c r="AG18" i="69"/>
  <c r="Z80" i="87"/>
  <c r="AI177" i="87"/>
  <c r="S104" i="67"/>
  <c r="AY13" i="86"/>
  <c r="Q61" i="67"/>
  <c r="D43" i="67"/>
  <c r="H56" i="67" s="1"/>
  <c r="G59" i="67"/>
  <c r="S101" i="67"/>
  <c r="Q65" i="67"/>
  <c r="AB5" i="85"/>
  <c r="M101" i="67"/>
  <c r="Q45" i="67"/>
  <c r="P74" i="67"/>
  <c r="S74" i="67" s="1"/>
  <c r="M72" i="67"/>
  <c r="AV22" i="85"/>
  <c r="AN7" i="86"/>
  <c r="T26" i="85"/>
  <c r="X6" i="87"/>
  <c r="BB6" i="87"/>
  <c r="D25" i="85"/>
  <c r="AX23" i="85"/>
  <c r="M37" i="67"/>
  <c r="J75" i="67"/>
  <c r="J84" i="67"/>
  <c r="M84" i="67" s="1"/>
  <c r="AT9" i="85"/>
  <c r="N94" i="67"/>
  <c r="M87" i="67"/>
  <c r="F80" i="67"/>
  <c r="N58" i="67"/>
  <c r="G30" i="67"/>
  <c r="Q36" i="67"/>
  <c r="T36" i="67" s="1"/>
  <c r="K33" i="67"/>
  <c r="P21" i="85"/>
  <c r="P22" i="85" s="1"/>
  <c r="AV19" i="86"/>
  <c r="AO19" i="86"/>
  <c r="AU19" i="86"/>
  <c r="AE11" i="86"/>
  <c r="AR14" i="86"/>
  <c r="I45" i="87"/>
  <c r="AE45" i="87" s="1"/>
  <c r="I42" i="87"/>
  <c r="E23" i="85"/>
  <c r="Z12" i="85"/>
  <c r="AM5" i="86"/>
  <c r="AA100" i="87"/>
  <c r="M149" i="87"/>
  <c r="AH148" i="87"/>
  <c r="AX11" i="85"/>
  <c r="K23" i="41"/>
  <c r="Q11" i="41"/>
  <c r="Q23" i="41" s="1"/>
  <c r="AF18" i="69"/>
  <c r="AM9" i="86"/>
  <c r="AN9" i="86"/>
  <c r="AB18" i="86"/>
  <c r="AE6" i="86"/>
  <c r="AF6" i="86"/>
  <c r="R17" i="85"/>
  <c r="AQ18" i="85"/>
  <c r="AT18" i="85"/>
  <c r="G68" i="87"/>
  <c r="G72" i="87" s="1"/>
  <c r="D51" i="67"/>
  <c r="K62" i="67"/>
  <c r="N62" i="67" s="1"/>
  <c r="P87" i="67"/>
  <c r="S87" i="67" s="1"/>
  <c r="P25" i="67"/>
  <c r="AB8" i="85"/>
  <c r="AX20" i="85"/>
  <c r="G50" i="67"/>
  <c r="M118" i="67"/>
  <c r="AH5" i="69"/>
  <c r="AU22" i="69"/>
  <c r="G74" i="67"/>
  <c r="Q80" i="67"/>
  <c r="K73" i="67"/>
  <c r="Q76" i="67"/>
  <c r="K69" i="67"/>
  <c r="Q72" i="67"/>
  <c r="T72" i="67" s="1"/>
  <c r="M62" i="67"/>
  <c r="F45" i="66"/>
  <c r="K38" i="66"/>
  <c r="P103" i="67"/>
  <c r="S103" i="67" s="1"/>
  <c r="J100" i="67"/>
  <c r="D111" i="67"/>
  <c r="H111" i="67" s="1"/>
  <c r="AS8" i="69"/>
  <c r="AS19" i="69"/>
  <c r="B27" i="69"/>
  <c r="B36" i="69" s="1"/>
  <c r="Z10" i="69"/>
  <c r="AL18" i="69"/>
  <c r="AC16" i="69"/>
  <c r="N12" i="85"/>
  <c r="AN10" i="85"/>
  <c r="M17" i="85"/>
  <c r="I21" i="85"/>
  <c r="AD20" i="85"/>
  <c r="O17" i="86"/>
  <c r="AO10" i="86"/>
  <c r="AU20" i="86"/>
  <c r="AV20" i="86"/>
  <c r="AS5" i="86"/>
  <c r="T66" i="87"/>
  <c r="BB38" i="87"/>
  <c r="Q45" i="87"/>
  <c r="Q56" i="87" s="1"/>
  <c r="D88" i="87"/>
  <c r="L88" i="87"/>
  <c r="T88" i="87"/>
  <c r="I137" i="87"/>
  <c r="I139" i="87" s="1"/>
  <c r="AD135" i="87"/>
  <c r="N92" i="67"/>
  <c r="D68" i="67"/>
  <c r="H68" i="67" s="1"/>
  <c r="G64" i="67"/>
  <c r="T66" i="67"/>
  <c r="Q19" i="41"/>
  <c r="Q12" i="41"/>
  <c r="AM14" i="69"/>
  <c r="AE9" i="85"/>
  <c r="AL11" i="85"/>
  <c r="H17" i="85"/>
  <c r="AB15" i="85"/>
  <c r="AN15" i="85"/>
  <c r="I12" i="86"/>
  <c r="J8" i="86"/>
  <c r="M26" i="86"/>
  <c r="M21" i="86"/>
  <c r="M22" i="86" s="1"/>
  <c r="AV14" i="86"/>
  <c r="AJ6" i="87"/>
  <c r="Z141" i="87"/>
  <c r="AJ155" i="87"/>
  <c r="Z159" i="87"/>
  <c r="AK161" i="87"/>
  <c r="X163" i="87"/>
  <c r="AC173" i="87"/>
  <c r="AK173" i="87"/>
  <c r="K67" i="67"/>
  <c r="Q87" i="67"/>
  <c r="T87" i="67" s="1"/>
  <c r="T64" i="67"/>
  <c r="AR10" i="86"/>
  <c r="T94" i="67"/>
  <c r="F31" i="67"/>
  <c r="AT15" i="85"/>
  <c r="AD16" i="85"/>
  <c r="X73" i="87"/>
  <c r="AC104" i="87"/>
  <c r="X17" i="98"/>
  <c r="G17" i="98" s="1"/>
  <c r="P17" i="98" s="1"/>
  <c r="AU7" i="86"/>
  <c r="AR7" i="86"/>
  <c r="H40" i="87"/>
  <c r="H45" i="87"/>
  <c r="H60" i="87" s="1"/>
  <c r="P40" i="87"/>
  <c r="AL40" i="87" s="1"/>
  <c r="AL38" i="87"/>
  <c r="Y67" i="87"/>
  <c r="X67" i="87"/>
  <c r="AE83" i="87"/>
  <c r="I88" i="87"/>
  <c r="R102" i="87"/>
  <c r="R100" i="87"/>
  <c r="AD104" i="87"/>
  <c r="AT104" i="87"/>
  <c r="Q105" i="87"/>
  <c r="AN111" i="87"/>
  <c r="X111" i="87"/>
  <c r="J116" i="87"/>
  <c r="AU111" i="87"/>
  <c r="K135" i="87"/>
  <c r="K130" i="87"/>
  <c r="AF130" i="87" s="1"/>
  <c r="K132" i="87"/>
  <c r="AC134" i="87"/>
  <c r="G165" i="87"/>
  <c r="G172" i="87" s="1"/>
  <c r="AT17" i="69"/>
  <c r="AF6" i="87"/>
  <c r="BC6" i="87"/>
  <c r="BB36" i="87"/>
  <c r="AL36" i="87"/>
  <c r="AJ134" i="87"/>
  <c r="O135" i="87"/>
  <c r="O144" i="87" s="1"/>
  <c r="AU10" i="86"/>
  <c r="AZ25" i="86"/>
  <c r="D36" i="86"/>
  <c r="B34" i="86"/>
  <c r="AX11" i="86"/>
  <c r="AX10" i="86"/>
  <c r="AM19" i="86"/>
  <c r="AN19" i="86"/>
  <c r="AO14" i="86"/>
  <c r="AN14" i="86"/>
  <c r="AV7" i="86"/>
  <c r="AO7" i="86"/>
  <c r="AS18" i="86"/>
  <c r="T21" i="86"/>
  <c r="AV18" i="86"/>
  <c r="AS20" i="85"/>
  <c r="AT20" i="85"/>
  <c r="AQ20" i="85"/>
  <c r="BB98" i="87"/>
  <c r="Q102" i="87"/>
  <c r="F95" i="67"/>
  <c r="J98" i="67"/>
  <c r="M98" i="67" s="1"/>
  <c r="P97" i="67"/>
  <c r="S97" i="67" s="1"/>
  <c r="F91" i="67"/>
  <c r="J94" i="67"/>
  <c r="M94" i="67" s="1"/>
  <c r="Q93" i="67"/>
  <c r="D87" i="67"/>
  <c r="G87" i="67"/>
  <c r="K90" i="67"/>
  <c r="N90" i="67" s="1"/>
  <c r="D83" i="67"/>
  <c r="G83" i="67"/>
  <c r="N83" i="67"/>
  <c r="Q89" i="67"/>
  <c r="T89" i="67" s="1"/>
  <c r="K86" i="67"/>
  <c r="K82" i="67"/>
  <c r="D79" i="67"/>
  <c r="AG14" i="69"/>
  <c r="AH14" i="69"/>
  <c r="AK9" i="69"/>
  <c r="AL9" i="69"/>
  <c r="X22" i="85"/>
  <c r="D33" i="85"/>
  <c r="Y24" i="85"/>
  <c r="Z24" i="85"/>
  <c r="AY18" i="86"/>
  <c r="AY16" i="86"/>
  <c r="AY21" i="86"/>
  <c r="AY24" i="86"/>
  <c r="AY5" i="86"/>
  <c r="C25" i="86"/>
  <c r="AY25" i="86" s="1"/>
  <c r="C27" i="86"/>
  <c r="C38" i="86" s="1"/>
  <c r="AY12" i="86"/>
  <c r="AY20" i="86"/>
  <c r="AY6" i="86"/>
  <c r="AY7" i="86"/>
  <c r="AY8" i="86"/>
  <c r="AB5" i="86"/>
  <c r="AC5" i="86"/>
  <c r="AC16" i="86"/>
  <c r="AB16" i="86"/>
  <c r="AH5" i="86"/>
  <c r="K8" i="86"/>
  <c r="BC96" i="87"/>
  <c r="E88" i="87"/>
  <c r="Z88" i="87" s="1"/>
  <c r="B137" i="87"/>
  <c r="B139" i="87" s="1"/>
  <c r="B142" i="87"/>
  <c r="B150" i="87"/>
  <c r="C36" i="69"/>
  <c r="V27" i="69"/>
  <c r="G37" i="67"/>
  <c r="K40" i="67"/>
  <c r="N40" i="67" s="1"/>
  <c r="J29" i="67"/>
  <c r="P32" i="67"/>
  <c r="S32" i="67" s="1"/>
  <c r="J25" i="67"/>
  <c r="M25" i="67" s="1"/>
  <c r="P28" i="67"/>
  <c r="D22" i="67"/>
  <c r="F30" i="67"/>
  <c r="D18" i="67"/>
  <c r="P24" i="67"/>
  <c r="S24" i="67" s="1"/>
  <c r="J21" i="67"/>
  <c r="Q111" i="67"/>
  <c r="G117" i="67"/>
  <c r="K108" i="67"/>
  <c r="N108" i="67" s="1"/>
  <c r="N100" i="67"/>
  <c r="Q106" i="67"/>
  <c r="AT19" i="69"/>
  <c r="AT9" i="69"/>
  <c r="AT7" i="69"/>
  <c r="AT22" i="69"/>
  <c r="AT8" i="69"/>
  <c r="AT12" i="69"/>
  <c r="C32" i="69"/>
  <c r="C25" i="69"/>
  <c r="AT14" i="69"/>
  <c r="AT20" i="69"/>
  <c r="AT24" i="69"/>
  <c r="AT16" i="69"/>
  <c r="AT21" i="69"/>
  <c r="AT15" i="69"/>
  <c r="AT23" i="69"/>
  <c r="AF11" i="69"/>
  <c r="AH11" i="69"/>
  <c r="AG11" i="69"/>
  <c r="AM18" i="69"/>
  <c r="AP18" i="69"/>
  <c r="AO11" i="85"/>
  <c r="AQ11" i="85"/>
  <c r="AT11" i="85"/>
  <c r="AC19" i="85"/>
  <c r="AD19" i="85"/>
  <c r="AY13" i="85"/>
  <c r="Z13" i="85"/>
  <c r="P130" i="87"/>
  <c r="P132" i="87"/>
  <c r="D34" i="85"/>
  <c r="AX25" i="85"/>
  <c r="AC159" i="87"/>
  <c r="AI163" i="87"/>
  <c r="AJ170" i="87"/>
  <c r="Z157" i="87"/>
  <c r="AJ175" i="87"/>
  <c r="S95" i="67"/>
  <c r="N87" i="67"/>
  <c r="AA16" i="69"/>
  <c r="J26" i="85"/>
  <c r="J35" i="85" s="1"/>
  <c r="AB9" i="85"/>
  <c r="AD102" i="87"/>
  <c r="BC111" i="87"/>
  <c r="P156" i="87"/>
  <c r="AK154" i="87"/>
  <c r="N86" i="67"/>
  <c r="K28" i="67"/>
  <c r="Q31" i="67"/>
  <c r="AU21" i="69"/>
  <c r="AU19" i="69"/>
  <c r="AO7" i="85"/>
  <c r="AZ6" i="86"/>
  <c r="AZ17" i="86"/>
  <c r="F17" i="86"/>
  <c r="AA17" i="86" s="1"/>
  <c r="AF111" i="87"/>
  <c r="AA157" i="87"/>
  <c r="F58" i="67"/>
  <c r="N33" i="67"/>
  <c r="D37" i="67"/>
  <c r="AF11" i="86"/>
  <c r="D25" i="67"/>
  <c r="D5" i="67"/>
  <c r="F42" i="66"/>
  <c r="I38" i="66"/>
  <c r="G36" i="66"/>
  <c r="AC20" i="69"/>
  <c r="Q156" i="87"/>
  <c r="AH173" i="87"/>
  <c r="AH10" i="69"/>
  <c r="R22" i="87"/>
  <c r="J81" i="87"/>
  <c r="B178" i="87"/>
  <c r="L43" i="66"/>
  <c r="G120" i="67"/>
  <c r="AD11" i="86"/>
  <c r="AC11" i="86"/>
  <c r="AB100" i="87"/>
  <c r="AE104" i="87"/>
  <c r="Q135" i="87"/>
  <c r="Q144" i="87" s="1"/>
  <c r="N158" i="87"/>
  <c r="M33" i="67"/>
  <c r="AD17" i="85"/>
  <c r="AZ13" i="86"/>
  <c r="AZ15" i="86"/>
  <c r="D9" i="67"/>
  <c r="H43" i="66"/>
  <c r="J39" i="66"/>
  <c r="F35" i="66"/>
  <c r="AX24" i="86"/>
  <c r="BB8" i="87"/>
  <c r="Q10" i="87"/>
  <c r="Q15" i="87"/>
  <c r="BB15" i="87" s="1"/>
  <c r="T158" i="87"/>
  <c r="AA173" i="87"/>
  <c r="Z173" i="87"/>
  <c r="N44" i="67"/>
  <c r="Q35" i="67"/>
  <c r="T35" i="67" s="1"/>
  <c r="D57" i="67"/>
  <c r="D48" i="67"/>
  <c r="AQ15" i="69"/>
  <c r="AJ21" i="87"/>
  <c r="BF96" i="87"/>
  <c r="R178" i="87"/>
  <c r="D36" i="67"/>
  <c r="H48" i="67" s="1"/>
  <c r="F52" i="67"/>
  <c r="M12" i="69"/>
  <c r="D116" i="67"/>
  <c r="AZ10" i="86"/>
  <c r="AR20" i="86"/>
  <c r="AZ23" i="86"/>
  <c r="D16" i="67"/>
  <c r="F43" i="66"/>
  <c r="F37" i="66"/>
  <c r="C156" i="87"/>
  <c r="G160" i="87"/>
  <c r="AK159" i="87"/>
  <c r="Y168" i="87"/>
  <c r="S90" i="67"/>
  <c r="F61" i="67"/>
  <c r="F65" i="67"/>
  <c r="AZ18" i="86"/>
  <c r="K24" i="67"/>
  <c r="AU14" i="69"/>
  <c r="AZ5" i="86"/>
  <c r="L42" i="66"/>
  <c r="J40" i="87"/>
  <c r="I7" i="41"/>
  <c r="Q74" i="67"/>
  <c r="T74" i="67" s="1"/>
  <c r="AZ19" i="86"/>
  <c r="D60" i="67"/>
  <c r="J60" i="67"/>
  <c r="D64" i="67"/>
  <c r="J67" i="67"/>
  <c r="F40" i="67"/>
  <c r="D8" i="67"/>
  <c r="AF8" i="86"/>
  <c r="I52" i="87"/>
  <c r="AK21" i="87"/>
  <c r="E178" i="87"/>
  <c r="G119" i="87"/>
  <c r="AR119" i="87" s="1"/>
  <c r="BI117" i="87"/>
  <c r="BI103" i="87"/>
  <c r="S89" i="67"/>
  <c r="S58" i="67"/>
  <c r="N61" i="67"/>
  <c r="H70" i="67"/>
  <c r="S54" i="67"/>
  <c r="N32" i="67"/>
  <c r="P55" i="67"/>
  <c r="P60" i="67"/>
  <c r="S60" i="67" s="1"/>
  <c r="G32" i="67"/>
  <c r="AF20" i="85"/>
  <c r="F17" i="85"/>
  <c r="AA17" i="85" s="1"/>
  <c r="AD14" i="85"/>
  <c r="K46" i="67"/>
  <c r="N46" i="67" s="1"/>
  <c r="T48" i="67"/>
  <c r="AZ11" i="86"/>
  <c r="P21" i="86"/>
  <c r="P75" i="67"/>
  <c r="S75" i="67" s="1"/>
  <c r="AS7" i="86"/>
  <c r="AZ14" i="86"/>
  <c r="AZ8" i="86"/>
  <c r="M116" i="67"/>
  <c r="M65" i="67"/>
  <c r="D27" i="86"/>
  <c r="P100" i="67"/>
  <c r="F64" i="67"/>
  <c r="V24" i="69"/>
  <c r="G80" i="67"/>
  <c r="N80" i="67"/>
  <c r="AA19" i="69"/>
  <c r="AA5" i="69"/>
  <c r="AN10" i="86"/>
  <c r="AC6" i="86"/>
  <c r="R26" i="85"/>
  <c r="R35" i="85" s="1"/>
  <c r="I47" i="87"/>
  <c r="I49" i="87" s="1"/>
  <c r="J47" i="87"/>
  <c r="J49" i="87" s="1"/>
  <c r="AL28" i="87"/>
  <c r="E10" i="87"/>
  <c r="E12" i="87"/>
  <c r="X44" i="87"/>
  <c r="AF44" i="87"/>
  <c r="BC44" i="87"/>
  <c r="AF51" i="87"/>
  <c r="N59" i="87"/>
  <c r="AE64" i="87"/>
  <c r="R68" i="87"/>
  <c r="R72" i="87" s="1"/>
  <c r="Z65" i="87"/>
  <c r="M68" i="87"/>
  <c r="M70" i="87" s="1"/>
  <c r="AC67" i="87"/>
  <c r="X69" i="87"/>
  <c r="AA71" i="87"/>
  <c r="V74" i="87"/>
  <c r="AD73" i="87"/>
  <c r="Y76" i="87"/>
  <c r="AB78" i="87"/>
  <c r="AA87" i="87"/>
  <c r="AK96" i="87"/>
  <c r="AC141" i="87"/>
  <c r="BC148" i="87"/>
  <c r="AH157" i="87"/>
  <c r="AA163" i="87"/>
  <c r="AD166" i="87"/>
  <c r="X177" i="87"/>
  <c r="T83" i="67"/>
  <c r="AZ9" i="86"/>
  <c r="D13" i="67"/>
  <c r="J44" i="66"/>
  <c r="K40" i="66"/>
  <c r="H37" i="66"/>
  <c r="AD154" i="87"/>
  <c r="U164" i="87"/>
  <c r="K60" i="67"/>
  <c r="N60" i="67" s="1"/>
  <c r="N48" i="67"/>
  <c r="Z26" i="86"/>
  <c r="AZ21" i="86"/>
  <c r="AS20" i="86"/>
  <c r="Q42" i="67"/>
  <c r="T42" i="67" s="1"/>
  <c r="AD6" i="86"/>
  <c r="D32" i="67"/>
  <c r="BD14" i="87"/>
  <c r="BD58" i="87"/>
  <c r="Q74" i="87"/>
  <c r="R81" i="87"/>
  <c r="R89" i="87" s="1"/>
  <c r="AC157" i="87"/>
  <c r="F178" i="87"/>
  <c r="T77" i="67"/>
  <c r="K63" i="67"/>
  <c r="P63" i="67"/>
  <c r="S63" i="67" s="1"/>
  <c r="D12" i="67"/>
  <c r="I40" i="66"/>
  <c r="AB64" i="87"/>
  <c r="I156" i="87"/>
  <c r="BF6" i="87"/>
  <c r="C18" i="79"/>
  <c r="K7" i="41"/>
  <c r="P78" i="67"/>
  <c r="M41" i="67"/>
  <c r="T61" i="67"/>
  <c r="S72" i="67"/>
  <c r="S85" i="67"/>
  <c r="G26" i="85"/>
  <c r="F69" i="67"/>
  <c r="Q62" i="67"/>
  <c r="AZ12" i="86"/>
  <c r="AZ20" i="86"/>
  <c r="S68" i="67"/>
  <c r="AZ16" i="86"/>
  <c r="Q70" i="67"/>
  <c r="T70" i="67" s="1"/>
  <c r="AS14" i="86"/>
  <c r="S65" i="67"/>
  <c r="T32" i="67"/>
  <c r="P70" i="67"/>
  <c r="S70" i="67" s="1"/>
  <c r="S69" i="67"/>
  <c r="AU16" i="69"/>
  <c r="N25" i="67"/>
  <c r="X26" i="86"/>
  <c r="AZ22" i="86"/>
  <c r="F84" i="67"/>
  <c r="G97" i="67"/>
  <c r="J17" i="85"/>
  <c r="AE17" i="85" s="1"/>
  <c r="AC20" i="85"/>
  <c r="AM6" i="86"/>
  <c r="AM18" i="86"/>
  <c r="BI116" i="87"/>
  <c r="T42" i="87"/>
  <c r="Q12" i="87"/>
  <c r="BB12" i="87" s="1"/>
  <c r="AE38" i="87"/>
  <c r="M12" i="87"/>
  <c r="M10" i="87"/>
  <c r="AI10" i="87" s="1"/>
  <c r="AK14" i="87"/>
  <c r="X21" i="87"/>
  <c r="S29" i="87"/>
  <c r="AK36" i="87"/>
  <c r="Q13" i="41"/>
  <c r="AA11" i="69"/>
  <c r="Z11" i="69"/>
  <c r="AD6" i="69"/>
  <c r="AL10" i="69"/>
  <c r="AP7" i="69"/>
  <c r="K12" i="85"/>
  <c r="AV20" i="85"/>
  <c r="AV6" i="85"/>
  <c r="AV16" i="85"/>
  <c r="C35" i="86"/>
  <c r="X24" i="86"/>
  <c r="F8" i="86"/>
  <c r="AA8" i="86" s="1"/>
  <c r="AD7" i="86"/>
  <c r="AE14" i="86"/>
  <c r="AH7" i="86"/>
  <c r="AF7" i="86"/>
  <c r="AL8" i="87"/>
  <c r="Q68" i="87"/>
  <c r="S81" i="87"/>
  <c r="K88" i="87"/>
  <c r="BI95" i="87"/>
  <c r="F62" i="67"/>
  <c r="T60" i="67"/>
  <c r="D45" i="67"/>
  <c r="H58" i="67" s="1"/>
  <c r="F34" i="67"/>
  <c r="D30" i="67"/>
  <c r="F41" i="66"/>
  <c r="J37" i="66"/>
  <c r="H35" i="66"/>
  <c r="AC7" i="69"/>
  <c r="AB10" i="69"/>
  <c r="AK11" i="69"/>
  <c r="AQ7" i="69"/>
  <c r="AT14" i="85"/>
  <c r="AW22" i="85"/>
  <c r="S6" i="86"/>
  <c r="AR6" i="86" s="1"/>
  <c r="AV6" i="86"/>
  <c r="AK130" i="87"/>
  <c r="BD6" i="87"/>
  <c r="X14" i="87"/>
  <c r="AE14" i="87"/>
  <c r="BL18" i="87"/>
  <c r="X36" i="87"/>
  <c r="S66" i="87"/>
  <c r="BF44" i="87"/>
  <c r="M59" i="87"/>
  <c r="U59" i="87"/>
  <c r="AD58" i="87"/>
  <c r="AL58" i="87"/>
  <c r="L68" i="87"/>
  <c r="T68" i="87"/>
  <c r="T75" i="87" s="1"/>
  <c r="AC65" i="87"/>
  <c r="M74" i="87"/>
  <c r="U74" i="87"/>
  <c r="Y73" i="87"/>
  <c r="F81" i="87"/>
  <c r="AA81" i="87" s="1"/>
  <c r="N81" i="87"/>
  <c r="J114" i="87"/>
  <c r="S50" i="67"/>
  <c r="M49" i="67"/>
  <c r="M42" i="67"/>
  <c r="F38" i="67"/>
  <c r="T33" i="67"/>
  <c r="D7" i="67"/>
  <c r="H45" i="66"/>
  <c r="F44" i="66"/>
  <c r="J42" i="66"/>
  <c r="H41" i="66"/>
  <c r="G40" i="66"/>
  <c r="F39" i="66"/>
  <c r="L37" i="66"/>
  <c r="K36" i="66"/>
  <c r="J35" i="66"/>
  <c r="I34" i="66"/>
  <c r="F106" i="67"/>
  <c r="N117" i="67"/>
  <c r="F120" i="67"/>
  <c r="AQ18" i="69"/>
  <c r="AF19" i="86"/>
  <c r="AE6" i="87"/>
  <c r="B59" i="87"/>
  <c r="AI170" i="87"/>
  <c r="AA175" i="87"/>
  <c r="Q146" i="87"/>
  <c r="N160" i="87"/>
  <c r="M54" i="87"/>
  <c r="M60" i="87"/>
  <c r="M56" i="87"/>
  <c r="Q107" i="67"/>
  <c r="N12" i="87"/>
  <c r="AI12" i="87" s="1"/>
  <c r="N10" i="87"/>
  <c r="AI8" i="87"/>
  <c r="N15" i="87"/>
  <c r="AI15" i="87" s="1"/>
  <c r="K29" i="87"/>
  <c r="AE51" i="87"/>
  <c r="I59" i="87"/>
  <c r="AE59" i="87" s="1"/>
  <c r="H66" i="87"/>
  <c r="H68" i="87"/>
  <c r="AC64" i="87"/>
  <c r="C149" i="87"/>
  <c r="X148" i="87"/>
  <c r="O156" i="87"/>
  <c r="O158" i="87"/>
  <c r="O165" i="87" s="1"/>
  <c r="O167" i="87" s="1"/>
  <c r="AJ154" i="87"/>
  <c r="Y161" i="87"/>
  <c r="X161" i="87"/>
  <c r="K76" i="67"/>
  <c r="Q79" i="67"/>
  <c r="T79" i="67" s="1"/>
  <c r="G73" i="67"/>
  <c r="F55" i="67"/>
  <c r="S55" i="67"/>
  <c r="D55" i="67"/>
  <c r="AK15" i="69"/>
  <c r="AG15" i="69"/>
  <c r="AI15" i="69"/>
  <c r="AJ15" i="69"/>
  <c r="AH15" i="69"/>
  <c r="K26" i="85"/>
  <c r="K8" i="85"/>
  <c r="AL5" i="85"/>
  <c r="AS119" i="87"/>
  <c r="AS7" i="85"/>
  <c r="G102" i="67"/>
  <c r="Q108" i="67"/>
  <c r="T108" i="67" s="1"/>
  <c r="F85" i="67"/>
  <c r="D73" i="67"/>
  <c r="J76" i="67"/>
  <c r="P79" i="67"/>
  <c r="S79" i="67" s="1"/>
  <c r="G41" i="67"/>
  <c r="Q47" i="67"/>
  <c r="D41" i="67"/>
  <c r="Q29" i="67"/>
  <c r="T29" i="67" s="1"/>
  <c r="K26" i="67"/>
  <c r="N26" i="67" s="1"/>
  <c r="S109" i="67"/>
  <c r="J112" i="67"/>
  <c r="M112" i="67" s="1"/>
  <c r="F109" i="67"/>
  <c r="E40" i="87"/>
  <c r="E42" i="87"/>
  <c r="Z38" i="87"/>
  <c r="E45" i="87"/>
  <c r="E54" i="87" s="1"/>
  <c r="AA38" i="87"/>
  <c r="P135" i="87"/>
  <c r="AK134" i="87"/>
  <c r="AA14" i="85"/>
  <c r="D109" i="67"/>
  <c r="H109" i="67" s="1"/>
  <c r="T120" i="67"/>
  <c r="G85" i="67"/>
  <c r="J105" i="67"/>
  <c r="M105" i="67" s="1"/>
  <c r="P108" i="67"/>
  <c r="S108" i="67" s="1"/>
  <c r="F102" i="67"/>
  <c r="F114" i="67"/>
  <c r="AF104" i="87"/>
  <c r="L130" i="87"/>
  <c r="AG128" i="87"/>
  <c r="L132" i="87"/>
  <c r="AG132" i="87" s="1"/>
  <c r="AL141" i="87"/>
  <c r="AJ163" i="87"/>
  <c r="AH168" i="87"/>
  <c r="U15" i="87"/>
  <c r="U17" i="87" s="1"/>
  <c r="U10" i="87"/>
  <c r="X51" i="87"/>
  <c r="AB128" i="87"/>
  <c r="E149" i="87"/>
  <c r="Z148" i="87"/>
  <c r="AB157" i="87"/>
  <c r="Z161" i="87"/>
  <c r="E164" i="87"/>
  <c r="K171" i="87"/>
  <c r="AF166" i="87"/>
  <c r="D46" i="67"/>
  <c r="P52" i="67"/>
  <c r="S52" i="67" s="1"/>
  <c r="Q40" i="67"/>
  <c r="K37" i="67"/>
  <c r="N37" i="67" s="1"/>
  <c r="G46" i="67"/>
  <c r="G34" i="67"/>
  <c r="N34" i="67"/>
  <c r="F36" i="67"/>
  <c r="D24" i="67"/>
  <c r="P30" i="67"/>
  <c r="S30" i="67" s="1"/>
  <c r="F110" i="67"/>
  <c r="J113" i="67"/>
  <c r="M113" i="67" s="1"/>
  <c r="P116" i="67"/>
  <c r="AT5" i="85"/>
  <c r="AO5" i="85"/>
  <c r="H12" i="85"/>
  <c r="AD10" i="85"/>
  <c r="AC10" i="85"/>
  <c r="AN14" i="85"/>
  <c r="N17" i="85"/>
  <c r="AM17" i="85" s="1"/>
  <c r="P34" i="67"/>
  <c r="S34" i="67" s="1"/>
  <c r="P92" i="67"/>
  <c r="F98" i="67"/>
  <c r="J89" i="67"/>
  <c r="M89" i="67" s="1"/>
  <c r="Q25" i="67"/>
  <c r="T25" i="67" s="1"/>
  <c r="K22" i="67"/>
  <c r="N22" i="67" s="1"/>
  <c r="K42" i="87"/>
  <c r="AF42" i="87" s="1"/>
  <c r="AF38" i="87"/>
  <c r="AA78" i="87"/>
  <c r="R105" i="87"/>
  <c r="BB104" i="87"/>
  <c r="Y118" i="87"/>
  <c r="D119" i="87"/>
  <c r="AO119" i="87" s="1"/>
  <c r="T16" i="69"/>
  <c r="T41" i="67"/>
  <c r="D33" i="69"/>
  <c r="AU24" i="69"/>
  <c r="J96" i="67"/>
  <c r="D93" i="67"/>
  <c r="S93" i="67"/>
  <c r="F93" i="67"/>
  <c r="T12" i="69"/>
  <c r="AQ12" i="69" s="1"/>
  <c r="AQ9" i="69"/>
  <c r="S9" i="69"/>
  <c r="AE47" i="87"/>
  <c r="BC21" i="87"/>
  <c r="BC104" i="87"/>
  <c r="AG111" i="87"/>
  <c r="AC126" i="87"/>
  <c r="S107" i="67"/>
  <c r="K24" i="85"/>
  <c r="P22" i="86"/>
  <c r="AV21" i="86"/>
  <c r="AD9" i="69"/>
  <c r="J12" i="69"/>
  <c r="AM10" i="69"/>
  <c r="AP10" i="69"/>
  <c r="AQ7" i="85"/>
  <c r="BE21" i="87"/>
  <c r="BD21" i="87"/>
  <c r="X102" i="87"/>
  <c r="G116" i="87"/>
  <c r="AB105" i="87"/>
  <c r="AQ111" i="87"/>
  <c r="AA111" i="87"/>
  <c r="BB141" i="87"/>
  <c r="R149" i="87"/>
  <c r="AD170" i="87"/>
  <c r="Z177" i="87"/>
  <c r="M55" i="67"/>
  <c r="AJ26" i="86"/>
  <c r="M37" i="86"/>
  <c r="AI26" i="86"/>
  <c r="M109" i="67"/>
  <c r="AF15" i="69"/>
  <c r="M86" i="67"/>
  <c r="AD18" i="69"/>
  <c r="D27" i="67"/>
  <c r="H39" i="67" s="1"/>
  <c r="M102" i="67"/>
  <c r="AN17" i="86"/>
  <c r="AM17" i="86"/>
  <c r="AF16" i="69"/>
  <c r="Z19" i="69"/>
  <c r="Y19" i="69"/>
  <c r="Z6" i="69"/>
  <c r="F8" i="69"/>
  <c r="Y8" i="69" s="1"/>
  <c r="Y6" i="69"/>
  <c r="AA14" i="69"/>
  <c r="H17" i="69"/>
  <c r="K8" i="69"/>
  <c r="AD8" i="69" s="1"/>
  <c r="AD5" i="69"/>
  <c r="K26" i="69"/>
  <c r="K35" i="69" s="1"/>
  <c r="AM9" i="69"/>
  <c r="AC7" i="86"/>
  <c r="G8" i="86"/>
  <c r="AC8" i="86" s="1"/>
  <c r="AC19" i="86"/>
  <c r="AB19" i="86"/>
  <c r="AD14" i="86"/>
  <c r="H17" i="86"/>
  <c r="AC14" i="86"/>
  <c r="AE19" i="86"/>
  <c r="AD19" i="86"/>
  <c r="AH20" i="86"/>
  <c r="K21" i="86"/>
  <c r="AF21" i="86" s="1"/>
  <c r="S5" i="86"/>
  <c r="AV5" i="86"/>
  <c r="T8" i="86"/>
  <c r="AU16" i="86"/>
  <c r="S17" i="86"/>
  <c r="AR16" i="86"/>
  <c r="AS5" i="85"/>
  <c r="AI157" i="87"/>
  <c r="M178" i="87"/>
  <c r="AA6" i="87"/>
  <c r="AI6" i="87"/>
  <c r="BE6" i="87"/>
  <c r="BH6" i="87"/>
  <c r="X8" i="87"/>
  <c r="BF8" i="87"/>
  <c r="V12" i="87"/>
  <c r="BF12" i="87" s="1"/>
  <c r="V15" i="87"/>
  <c r="V10" i="87"/>
  <c r="BC14" i="87"/>
  <c r="BB14" i="87"/>
  <c r="AA21" i="87"/>
  <c r="Z21" i="87"/>
  <c r="E26" i="87"/>
  <c r="E30" i="87"/>
  <c r="AP28" i="87" s="1"/>
  <c r="AH21" i="87"/>
  <c r="H52" i="87"/>
  <c r="AS45" i="87"/>
  <c r="AD45" i="87"/>
  <c r="AI38" i="87"/>
  <c r="N40" i="87"/>
  <c r="BD51" i="87"/>
  <c r="AJ58" i="87"/>
  <c r="C68" i="87"/>
  <c r="S68" i="87"/>
  <c r="S72" i="87" s="1"/>
  <c r="Q72" i="87"/>
  <c r="D74" i="87"/>
  <c r="L74" i="87"/>
  <c r="AB71" i="87"/>
  <c r="AE73" i="87"/>
  <c r="Z76" i="87"/>
  <c r="E81" i="87"/>
  <c r="M81" i="87"/>
  <c r="AC78" i="87"/>
  <c r="X80" i="87"/>
  <c r="C81" i="87"/>
  <c r="AB83" i="87"/>
  <c r="AF134" i="87"/>
  <c r="B158" i="87"/>
  <c r="G82" i="67"/>
  <c r="K85" i="67"/>
  <c r="N85" i="67" s="1"/>
  <c r="D65" i="67"/>
  <c r="H65" i="67" s="1"/>
  <c r="K68" i="67"/>
  <c r="N68" i="67" s="1"/>
  <c r="G65" i="67"/>
  <c r="Q71" i="67"/>
  <c r="T71" i="67" s="1"/>
  <c r="G77" i="67"/>
  <c r="P44" i="67"/>
  <c r="S44" i="67" s="1"/>
  <c r="S38" i="67"/>
  <c r="D38" i="67"/>
  <c r="H38" i="67" s="1"/>
  <c r="Q105" i="67"/>
  <c r="T105" i="67" s="1"/>
  <c r="G99" i="67"/>
  <c r="K102" i="67"/>
  <c r="N102" i="67" s="1"/>
  <c r="G111" i="67"/>
  <c r="F104" i="67"/>
  <c r="P110" i="67"/>
  <c r="S110" i="67" s="1"/>
  <c r="F107" i="67"/>
  <c r="J110" i="67"/>
  <c r="M110" i="67" s="1"/>
  <c r="AL7" i="85"/>
  <c r="AF7" i="85"/>
  <c r="AN9" i="85"/>
  <c r="O12" i="85"/>
  <c r="AN12" i="85" s="1"/>
  <c r="AO9" i="85"/>
  <c r="AD11" i="85"/>
  <c r="F67" i="67"/>
  <c r="H24" i="85"/>
  <c r="F94" i="67"/>
  <c r="J85" i="67"/>
  <c r="F82" i="67"/>
  <c r="D82" i="67"/>
  <c r="M82" i="67"/>
  <c r="AG173" i="87"/>
  <c r="AF173" i="87"/>
  <c r="K178" i="87"/>
  <c r="D102" i="67"/>
  <c r="G31" i="67"/>
  <c r="BE28" i="87"/>
  <c r="T29" i="87"/>
  <c r="BE29" i="87" s="1"/>
  <c r="BD28" i="87"/>
  <c r="AE102" i="87"/>
  <c r="F112" i="87"/>
  <c r="AA105" i="87"/>
  <c r="AQ105" i="87"/>
  <c r="F116" i="87"/>
  <c r="F107" i="87"/>
  <c r="F109" i="87" s="1"/>
  <c r="F114" i="87"/>
  <c r="BL108" i="87"/>
  <c r="AD141" i="87"/>
  <c r="AK156" i="87"/>
  <c r="AE166" i="87"/>
  <c r="L178" i="87"/>
  <c r="Y177" i="87"/>
  <c r="W24" i="69"/>
  <c r="S102" i="67"/>
  <c r="M73" i="67"/>
  <c r="P113" i="67"/>
  <c r="S113" i="67" s="1"/>
  <c r="AB11" i="69"/>
  <c r="AC11" i="69"/>
  <c r="AF6" i="69"/>
  <c r="AI6" i="69"/>
  <c r="AG6" i="69"/>
  <c r="AK6" i="69"/>
  <c r="AJ6" i="69"/>
  <c r="AH6" i="69"/>
  <c r="T14" i="69"/>
  <c r="AQ14" i="69" s="1"/>
  <c r="AP14" i="69"/>
  <c r="AT19" i="85"/>
  <c r="AQ19" i="85"/>
  <c r="Z178" i="87"/>
  <c r="J12" i="87"/>
  <c r="J10" i="87"/>
  <c r="J15" i="87"/>
  <c r="J26" i="87" s="1"/>
  <c r="Z28" i="87"/>
  <c r="AB38" i="87"/>
  <c r="G45" i="87"/>
  <c r="G56" i="87" s="1"/>
  <c r="G42" i="87"/>
  <c r="AA58" i="87"/>
  <c r="F59" i="87"/>
  <c r="AJ98" i="87"/>
  <c r="O100" i="87"/>
  <c r="O105" i="87"/>
  <c r="O102" i="87"/>
  <c r="AG104" i="87"/>
  <c r="M119" i="87"/>
  <c r="AD126" i="87"/>
  <c r="BB134" i="87"/>
  <c r="R135" i="87"/>
  <c r="R137" i="87" s="1"/>
  <c r="B146" i="87"/>
  <c r="B149" i="87"/>
  <c r="B144" i="87"/>
  <c r="Y155" i="87"/>
  <c r="D156" i="87"/>
  <c r="Y156" i="87" s="1"/>
  <c r="AE159" i="87"/>
  <c r="AH161" i="87"/>
  <c r="M164" i="87"/>
  <c r="X166" i="87"/>
  <c r="AD175" i="87"/>
  <c r="H99" i="67"/>
  <c r="F42" i="67"/>
  <c r="P99" i="67"/>
  <c r="S99" i="67" s="1"/>
  <c r="S28" i="67"/>
  <c r="J31" i="67"/>
  <c r="M31" i="67" s="1"/>
  <c r="I22" i="85"/>
  <c r="H118" i="67"/>
  <c r="N120" i="67"/>
  <c r="AQ20" i="69"/>
  <c r="M38" i="67"/>
  <c r="T45" i="67"/>
  <c r="AC9" i="69"/>
  <c r="N28" i="67"/>
  <c r="AU13" i="69"/>
  <c r="AU23" i="69"/>
  <c r="D32" i="69"/>
  <c r="AU5" i="69"/>
  <c r="AU6" i="69"/>
  <c r="AU15" i="69"/>
  <c r="AU17" i="69"/>
  <c r="AU10" i="69"/>
  <c r="AU18" i="69"/>
  <c r="AU9" i="69"/>
  <c r="D25" i="69"/>
  <c r="D34" i="69" s="1"/>
  <c r="AU8" i="69"/>
  <c r="AU11" i="69"/>
  <c r="AU7" i="69"/>
  <c r="W23" i="69"/>
  <c r="K119" i="67"/>
  <c r="N119" i="67" s="1"/>
  <c r="N116" i="67"/>
  <c r="K21" i="69"/>
  <c r="AB9" i="69"/>
  <c r="I12" i="69"/>
  <c r="AF14" i="69"/>
  <c r="AI14" i="69"/>
  <c r="AJ14" i="69"/>
  <c r="AK5" i="69"/>
  <c r="AF5" i="69"/>
  <c r="AK10" i="69"/>
  <c r="N12" i="69"/>
  <c r="AK12" i="69" s="1"/>
  <c r="AM7" i="69"/>
  <c r="P8" i="69"/>
  <c r="AK40" i="87"/>
  <c r="H144" i="87"/>
  <c r="R130" i="87"/>
  <c r="BB130" i="87" s="1"/>
  <c r="L105" i="87"/>
  <c r="L120" i="87" s="1"/>
  <c r="J29" i="87"/>
  <c r="J66" i="87"/>
  <c r="AE66" i="87" s="1"/>
  <c r="D90" i="67"/>
  <c r="M90" i="67"/>
  <c r="P96" i="67"/>
  <c r="S96" i="67" s="1"/>
  <c r="AG16" i="69"/>
  <c r="AK16" i="69"/>
  <c r="AI16" i="69"/>
  <c r="AC40" i="87"/>
  <c r="BB45" i="87"/>
  <c r="Q47" i="87"/>
  <c r="Y65" i="87"/>
  <c r="X65" i="87"/>
  <c r="I74" i="87"/>
  <c r="AD69" i="87"/>
  <c r="AE69" i="87"/>
  <c r="AC80" i="87"/>
  <c r="AD80" i="87"/>
  <c r="M102" i="87"/>
  <c r="AH98" i="87"/>
  <c r="M100" i="87"/>
  <c r="X104" i="87"/>
  <c r="AN104" i="87"/>
  <c r="BC118" i="87"/>
  <c r="S119" i="87"/>
  <c r="L144" i="87"/>
  <c r="L150" i="87"/>
  <c r="AW135" i="87" s="1"/>
  <c r="J58" i="67"/>
  <c r="M58" i="67" s="1"/>
  <c r="P88" i="67"/>
  <c r="S88" i="67" s="1"/>
  <c r="AS34" i="87"/>
  <c r="AS43" i="87"/>
  <c r="AS46" i="87"/>
  <c r="AS55" i="87"/>
  <c r="AS48" i="87"/>
  <c r="U40" i="87"/>
  <c r="BE40" i="87" s="1"/>
  <c r="U42" i="87"/>
  <c r="BE42" i="87" s="1"/>
  <c r="BE38" i="87"/>
  <c r="U45" i="87"/>
  <c r="BC51" i="87"/>
  <c r="S59" i="87"/>
  <c r="BC59" i="87" s="1"/>
  <c r="R75" i="87"/>
  <c r="R70" i="87"/>
  <c r="Y104" i="87"/>
  <c r="BD118" i="87"/>
  <c r="T119" i="87"/>
  <c r="S132" i="87"/>
  <c r="BC132" i="87" s="1"/>
  <c r="BC128" i="87"/>
  <c r="T162" i="87"/>
  <c r="AC163" i="87"/>
  <c r="AI168" i="87"/>
  <c r="T21" i="69"/>
  <c r="S78" i="67"/>
  <c r="T86" i="67"/>
  <c r="D28" i="67"/>
  <c r="G58" i="67"/>
  <c r="T73" i="67"/>
  <c r="P115" i="67"/>
  <c r="S115" i="67" s="1"/>
  <c r="AJ16" i="69"/>
  <c r="AM20" i="69"/>
  <c r="Z7" i="69"/>
  <c r="J45" i="67"/>
  <c r="P16" i="41"/>
  <c r="P12" i="41"/>
  <c r="P17" i="41"/>
  <c r="P14" i="41"/>
  <c r="P19" i="41"/>
  <c r="P15" i="41"/>
  <c r="P22" i="41"/>
  <c r="P13" i="41"/>
  <c r="P11" i="41"/>
  <c r="G103" i="67"/>
  <c r="K106" i="67"/>
  <c r="N106" i="67" s="1"/>
  <c r="N103" i="67"/>
  <c r="D103" i="67"/>
  <c r="Q109" i="67"/>
  <c r="T109" i="67" s="1"/>
  <c r="G106" i="67"/>
  <c r="G118" i="67"/>
  <c r="Q112" i="67"/>
  <c r="T106" i="67"/>
  <c r="K109" i="67"/>
  <c r="J103" i="67"/>
  <c r="M103" i="67" s="1"/>
  <c r="F100" i="67"/>
  <c r="D100" i="67"/>
  <c r="H100" i="67" s="1"/>
  <c r="S100" i="67"/>
  <c r="F116" i="67"/>
  <c r="S116" i="67"/>
  <c r="F21" i="69"/>
  <c r="Y21" i="69" s="1"/>
  <c r="AB19" i="85"/>
  <c r="AA19" i="85"/>
  <c r="AN19" i="85"/>
  <c r="N21" i="85"/>
  <c r="AO20" i="85"/>
  <c r="AN20" i="85"/>
  <c r="O21" i="85"/>
  <c r="B33" i="85"/>
  <c r="X24" i="85"/>
  <c r="AV24" i="85"/>
  <c r="B25" i="85"/>
  <c r="AN5" i="86"/>
  <c r="N8" i="86"/>
  <c r="AM16" i="86"/>
  <c r="AN16" i="86"/>
  <c r="AO5" i="86"/>
  <c r="P8" i="86"/>
  <c r="AV16" i="86"/>
  <c r="AS16" i="86"/>
  <c r="AO16" i="86"/>
  <c r="AU104" i="87"/>
  <c r="E66" i="87"/>
  <c r="M66" i="87"/>
  <c r="I12" i="87"/>
  <c r="AD8" i="87"/>
  <c r="I10" i="87"/>
  <c r="BH12" i="87"/>
  <c r="AF21" i="87"/>
  <c r="AG21" i="87"/>
  <c r="N100" i="87"/>
  <c r="AI98" i="87"/>
  <c r="E119" i="87"/>
  <c r="AP118" i="87"/>
  <c r="AA130" i="87"/>
  <c r="AL134" i="87"/>
  <c r="Y148" i="87"/>
  <c r="AC154" i="87"/>
  <c r="AB163" i="87"/>
  <c r="AK170" i="87"/>
  <c r="P178" i="87"/>
  <c r="P179" i="87" s="1"/>
  <c r="AK175" i="87"/>
  <c r="D31" i="67"/>
  <c r="H43" i="67" s="1"/>
  <c r="AS26" i="85"/>
  <c r="J107" i="67"/>
  <c r="M107" i="67" s="1"/>
  <c r="AJ20" i="69"/>
  <c r="AH20" i="69"/>
  <c r="AF20" i="69"/>
  <c r="AG20" i="69"/>
  <c r="AI20" i="69"/>
  <c r="B77" i="67"/>
  <c r="AL14" i="69"/>
  <c r="AK14" i="69"/>
  <c r="N17" i="69"/>
  <c r="K17" i="69"/>
  <c r="AD16" i="69"/>
  <c r="Z83" i="87"/>
  <c r="AH28" i="87"/>
  <c r="M29" i="87"/>
  <c r="AI28" i="87"/>
  <c r="M42" i="87"/>
  <c r="M40" i="87"/>
  <c r="F88" i="87"/>
  <c r="AA83" i="87"/>
  <c r="BD104" i="87"/>
  <c r="AE134" i="87"/>
  <c r="AE141" i="87"/>
  <c r="J149" i="87"/>
  <c r="U149" i="87"/>
  <c r="BE148" i="87"/>
  <c r="AG155" i="87"/>
  <c r="L156" i="87"/>
  <c r="AJ157" i="87"/>
  <c r="AK163" i="87"/>
  <c r="F171" i="87"/>
  <c r="AA168" i="87"/>
  <c r="AH177" i="87"/>
  <c r="M50" i="67"/>
  <c r="J93" i="67"/>
  <c r="M93" i="67" s="1"/>
  <c r="G94" i="67"/>
  <c r="G114" i="67"/>
  <c r="P61" i="67"/>
  <c r="S61" i="67" s="1"/>
  <c r="AM14" i="85"/>
  <c r="AT7" i="85"/>
  <c r="AF5" i="85"/>
  <c r="Q51" i="67"/>
  <c r="T51" i="67" s="1"/>
  <c r="AS17" i="86"/>
  <c r="AO17" i="86"/>
  <c r="M17" i="69"/>
  <c r="M104" i="67"/>
  <c r="D23" i="67"/>
  <c r="H35" i="67" s="1"/>
  <c r="F70" i="67"/>
  <c r="P76" i="67"/>
  <c r="F59" i="67"/>
  <c r="G42" i="67"/>
  <c r="G55" i="67"/>
  <c r="N42" i="67"/>
  <c r="K45" i="67"/>
  <c r="N45" i="67" s="1"/>
  <c r="G38" i="67"/>
  <c r="K41" i="67"/>
  <c r="N41" i="67" s="1"/>
  <c r="Q44" i="67"/>
  <c r="T44" i="67" s="1"/>
  <c r="T38" i="67"/>
  <c r="M35" i="67"/>
  <c r="F47" i="67"/>
  <c r="P41" i="67"/>
  <c r="S41" i="67" s="1"/>
  <c r="Q30" i="67"/>
  <c r="T30" i="67" s="1"/>
  <c r="K27" i="67"/>
  <c r="T24" i="67"/>
  <c r="N24" i="67"/>
  <c r="N20" i="67"/>
  <c r="Q26" i="67"/>
  <c r="T26" i="67" s="1"/>
  <c r="K23" i="67"/>
  <c r="N23" i="67" s="1"/>
  <c r="J45" i="66"/>
  <c r="H44" i="66"/>
  <c r="J41" i="66"/>
  <c r="H39" i="66"/>
  <c r="G38" i="66"/>
  <c r="L35" i="66"/>
  <c r="K34" i="66"/>
  <c r="O15" i="41"/>
  <c r="O18" i="41"/>
  <c r="O13" i="41"/>
  <c r="R13" i="41" s="1"/>
  <c r="O20" i="41"/>
  <c r="O19" i="41"/>
  <c r="O21" i="41"/>
  <c r="O12" i="41"/>
  <c r="O16" i="41"/>
  <c r="O11" i="41"/>
  <c r="R11" i="41" s="1"/>
  <c r="O17" i="41"/>
  <c r="D105" i="67"/>
  <c r="H105" i="67" s="1"/>
  <c r="F105" i="67"/>
  <c r="P111" i="67"/>
  <c r="S111" i="67" s="1"/>
  <c r="M108" i="67"/>
  <c r="D108" i="67"/>
  <c r="F108" i="67"/>
  <c r="P114" i="67"/>
  <c r="S114" i="67" s="1"/>
  <c r="F112" i="67"/>
  <c r="S112" i="67"/>
  <c r="P118" i="67"/>
  <c r="S118" i="67" s="1"/>
  <c r="E23" i="69"/>
  <c r="AV24" i="69" s="1"/>
  <c r="E13" i="69"/>
  <c r="K118" i="67"/>
  <c r="N118" i="67" s="1"/>
  <c r="T115" i="67"/>
  <c r="G115" i="67"/>
  <c r="X26" i="69"/>
  <c r="E35" i="69"/>
  <c r="AE5" i="85"/>
  <c r="J8" i="85"/>
  <c r="AD6" i="85"/>
  <c r="I8" i="85"/>
  <c r="AA9" i="85"/>
  <c r="F24" i="85"/>
  <c r="F26" i="85"/>
  <c r="AM9" i="85"/>
  <c r="N26" i="85"/>
  <c r="AM26" i="85" s="1"/>
  <c r="AL16" i="85"/>
  <c r="K17" i="85"/>
  <c r="H21" i="85"/>
  <c r="H22" i="85" s="1"/>
  <c r="AD18" i="85"/>
  <c r="AN18" i="85"/>
  <c r="AO18" i="85"/>
  <c r="E35" i="85"/>
  <c r="E27" i="85"/>
  <c r="E36" i="85" s="1"/>
  <c r="AX20" i="86"/>
  <c r="AX15" i="86"/>
  <c r="AX6" i="86"/>
  <c r="AX8" i="86"/>
  <c r="AX7" i="86"/>
  <c r="AX21" i="86"/>
  <c r="AX13" i="86"/>
  <c r="AX23" i="86"/>
  <c r="B25" i="86"/>
  <c r="B27" i="86"/>
  <c r="B38" i="86" s="1"/>
  <c r="AX5" i="86"/>
  <c r="AX14" i="86"/>
  <c r="AX22" i="86"/>
  <c r="AX19" i="86"/>
  <c r="AX17" i="86"/>
  <c r="AX16" i="86"/>
  <c r="AX9" i="86"/>
  <c r="AX18" i="86"/>
  <c r="AX12" i="86"/>
  <c r="AS59" i="87"/>
  <c r="I15" i="87"/>
  <c r="AF14" i="87"/>
  <c r="P48" i="67"/>
  <c r="S48" i="67" s="1"/>
  <c r="D42" i="67"/>
  <c r="H42" i="67" s="1"/>
  <c r="F43" i="67"/>
  <c r="J34" i="67"/>
  <c r="M34" i="67" s="1"/>
  <c r="P37" i="67"/>
  <c r="S37" i="67" s="1"/>
  <c r="F32" i="67"/>
  <c r="P26" i="67"/>
  <c r="S26" i="67" s="1"/>
  <c r="D20" i="67"/>
  <c r="H32" i="67" s="1"/>
  <c r="G113" i="67"/>
  <c r="G101" i="67"/>
  <c r="J27" i="67"/>
  <c r="M27" i="67" s="1"/>
  <c r="X24" i="69"/>
  <c r="E33" i="69"/>
  <c r="P84" i="67"/>
  <c r="S84" i="67" s="1"/>
  <c r="Q56" i="67"/>
  <c r="T56" i="67" s="1"/>
  <c r="K52" i="67"/>
  <c r="N52" i="67" s="1"/>
  <c r="D49" i="67"/>
  <c r="H49" i="67" s="1"/>
  <c r="T49" i="67"/>
  <c r="F46" i="67"/>
  <c r="D34" i="67"/>
  <c r="H34" i="67" s="1"/>
  <c r="D120" i="67"/>
  <c r="AE40" i="87"/>
  <c r="AD40" i="87"/>
  <c r="X28" i="87"/>
  <c r="C29" i="87"/>
  <c r="Y28" i="87"/>
  <c r="P66" i="87"/>
  <c r="P68" i="87"/>
  <c r="P72" i="87" s="1"/>
  <c r="B81" i="87"/>
  <c r="B89" i="87" s="1"/>
  <c r="X76" i="87"/>
  <c r="S105" i="87"/>
  <c r="BC98" i="87"/>
  <c r="S100" i="87"/>
  <c r="BC100" i="87" s="1"/>
  <c r="S102" i="87"/>
  <c r="BC102" i="87" s="1"/>
  <c r="E116" i="87"/>
  <c r="E112" i="87"/>
  <c r="AP112" i="87" s="1"/>
  <c r="E107" i="87"/>
  <c r="E109" i="87" s="1"/>
  <c r="E114" i="87"/>
  <c r="K119" i="87"/>
  <c r="G178" i="87"/>
  <c r="AB178" i="87" s="1"/>
  <c r="AB175" i="87"/>
  <c r="Y85" i="87"/>
  <c r="X85" i="87"/>
  <c r="AK98" i="87"/>
  <c r="BE104" i="87"/>
  <c r="T130" i="87"/>
  <c r="T135" i="87"/>
  <c r="T132" i="87"/>
  <c r="BD132" i="87" s="1"/>
  <c r="BC134" i="87"/>
  <c r="AF141" i="87"/>
  <c r="R156" i="87"/>
  <c r="AK157" i="87"/>
  <c r="AA161" i="87"/>
  <c r="Y166" i="87"/>
  <c r="O169" i="87"/>
  <c r="AJ168" i="87"/>
  <c r="AA177" i="87"/>
  <c r="AE100" i="87"/>
  <c r="Y102" i="87"/>
  <c r="H116" i="87"/>
  <c r="H107" i="87"/>
  <c r="H109" i="87" s="1"/>
  <c r="AS105" i="87"/>
  <c r="H114" i="87"/>
  <c r="C146" i="87"/>
  <c r="C144" i="87"/>
  <c r="AA148" i="87"/>
  <c r="AE154" i="87"/>
  <c r="J156" i="87"/>
  <c r="J158" i="87"/>
  <c r="AH155" i="87"/>
  <c r="M158" i="87"/>
  <c r="AI158" i="87" s="1"/>
  <c r="AI161" i="87"/>
  <c r="AE170" i="87"/>
  <c r="N178" i="87"/>
  <c r="AI173" i="87"/>
  <c r="T103" i="67"/>
  <c r="T65" i="67"/>
  <c r="N22" i="86"/>
  <c r="AM21" i="86"/>
  <c r="M46" i="67"/>
  <c r="AB6" i="87"/>
  <c r="D15" i="87"/>
  <c r="D10" i="87"/>
  <c r="K15" i="87"/>
  <c r="B40" i="87"/>
  <c r="B42" i="87"/>
  <c r="AC38" i="87"/>
  <c r="H42" i="87"/>
  <c r="AC42" i="87" s="1"/>
  <c r="AS38" i="87"/>
  <c r="AJ38" i="87"/>
  <c r="AK38" i="87"/>
  <c r="V40" i="87"/>
  <c r="V42" i="87"/>
  <c r="AA44" i="87"/>
  <c r="E59" i="87"/>
  <c r="Z51" i="87"/>
  <c r="Z64" i="87"/>
  <c r="D66" i="87"/>
  <c r="L72" i="87"/>
  <c r="L70" i="87"/>
  <c r="AA69" i="87"/>
  <c r="E74" i="87"/>
  <c r="AC71" i="87"/>
  <c r="AB76" i="87"/>
  <c r="AA76" i="87"/>
  <c r="AC83" i="87"/>
  <c r="H88" i="87"/>
  <c r="AD88" i="87" s="1"/>
  <c r="AD83" i="87"/>
  <c r="P88" i="87"/>
  <c r="AC87" i="87"/>
  <c r="AE96" i="87"/>
  <c r="AF96" i="87"/>
  <c r="BB96" i="87"/>
  <c r="U105" i="87"/>
  <c r="U107" i="87" s="1"/>
  <c r="U100" i="87"/>
  <c r="BH100" i="87" s="1"/>
  <c r="BI100" i="87" s="1"/>
  <c r="Z102" i="87"/>
  <c r="AQ104" i="87"/>
  <c r="AA104" i="87"/>
  <c r="AI104" i="87"/>
  <c r="AJ104" i="87"/>
  <c r="N105" i="87"/>
  <c r="N120" i="87" s="1"/>
  <c r="AY104" i="87" s="1"/>
  <c r="BF104" i="87"/>
  <c r="I116" i="87"/>
  <c r="AD116" i="87" s="1"/>
  <c r="I112" i="87"/>
  <c r="AE112" i="87" s="1"/>
  <c r="AT105" i="87"/>
  <c r="AE105" i="87"/>
  <c r="AK118" i="87"/>
  <c r="O119" i="87"/>
  <c r="AK119" i="87" s="1"/>
  <c r="X126" i="87"/>
  <c r="I142" i="87"/>
  <c r="I146" i="87"/>
  <c r="I144" i="87"/>
  <c r="AD144" i="87" s="1"/>
  <c r="N135" i="87"/>
  <c r="N142" i="87" s="1"/>
  <c r="N130" i="87"/>
  <c r="AJ130" i="87" s="1"/>
  <c r="AJ128" i="87"/>
  <c r="BE128" i="87"/>
  <c r="Y134" i="87"/>
  <c r="BE134" i="87"/>
  <c r="BD134" i="87"/>
  <c r="AG141" i="87"/>
  <c r="AC148" i="87"/>
  <c r="G149" i="87"/>
  <c r="AC149" i="87" s="1"/>
  <c r="AG154" i="87"/>
  <c r="K156" i="87"/>
  <c r="AG156" i="87" s="1"/>
  <c r="AF154" i="87"/>
  <c r="S158" i="87"/>
  <c r="S165" i="87" s="1"/>
  <c r="S172" i="87" s="1"/>
  <c r="F158" i="87"/>
  <c r="V158" i="87"/>
  <c r="V160" i="87" s="1"/>
  <c r="AG159" i="87"/>
  <c r="AH159" i="87"/>
  <c r="AB161" i="87"/>
  <c r="G164" i="87"/>
  <c r="AC161" i="87"/>
  <c r="O164" i="87"/>
  <c r="AJ161" i="87"/>
  <c r="AE163" i="87"/>
  <c r="AF163" i="87"/>
  <c r="R164" i="87"/>
  <c r="Z166" i="87"/>
  <c r="AA166" i="87"/>
  <c r="AI166" i="87"/>
  <c r="AH166" i="87"/>
  <c r="M171" i="87"/>
  <c r="U171" i="87"/>
  <c r="AC168" i="87"/>
  <c r="AF170" i="87"/>
  <c r="AF175" i="87"/>
  <c r="AC177" i="87"/>
  <c r="AB177" i="87"/>
  <c r="AJ177" i="87"/>
  <c r="AK177" i="87"/>
  <c r="AP104" i="87"/>
  <c r="Z104" i="87"/>
  <c r="AB111" i="87"/>
  <c r="BB126" i="87"/>
  <c r="X134" i="87"/>
  <c r="BC141" i="87"/>
  <c r="Z155" i="87"/>
  <c r="AD163" i="87"/>
  <c r="AB168" i="87"/>
  <c r="J178" i="87"/>
  <c r="AE175" i="87"/>
  <c r="M120" i="67"/>
  <c r="M100" i="67"/>
  <c r="H7" i="41"/>
  <c r="H103" i="67"/>
  <c r="Q97" i="67"/>
  <c r="T97" i="67" s="1"/>
  <c r="G91" i="67"/>
  <c r="T91" i="67"/>
  <c r="J91" i="67"/>
  <c r="M91" i="67" s="1"/>
  <c r="M88" i="67"/>
  <c r="J83" i="67"/>
  <c r="M83" i="67" s="1"/>
  <c r="D80" i="67"/>
  <c r="F75" i="67"/>
  <c r="D75" i="67"/>
  <c r="J78" i="67"/>
  <c r="M78" i="67" s="1"/>
  <c r="M75" i="67"/>
  <c r="F83" i="67"/>
  <c r="S71" i="67"/>
  <c r="D71" i="67"/>
  <c r="H83" i="67" s="1"/>
  <c r="F71" i="67"/>
  <c r="B35" i="85"/>
  <c r="B27" i="85"/>
  <c r="AY22" i="86"/>
  <c r="Y22" i="86"/>
  <c r="X22" i="86"/>
  <c r="AA6" i="86"/>
  <c r="AA15" i="86"/>
  <c r="AC10" i="86"/>
  <c r="H12" i="86"/>
  <c r="I8" i="86"/>
  <c r="AD5" i="86"/>
  <c r="I26" i="86"/>
  <c r="I37" i="86" s="1"/>
  <c r="AD16" i="86"/>
  <c r="AE16" i="86"/>
  <c r="AH11" i="86"/>
  <c r="AM11" i="86"/>
  <c r="T21" i="85"/>
  <c r="R12" i="85"/>
  <c r="R21" i="85"/>
  <c r="BI114" i="87"/>
  <c r="AB173" i="87"/>
  <c r="K137" i="87"/>
  <c r="K139" i="87" s="1"/>
  <c r="K146" i="87"/>
  <c r="K144" i="87"/>
  <c r="X130" i="87"/>
  <c r="Z8" i="87"/>
  <c r="AB87" i="87"/>
  <c r="BE102" i="87"/>
  <c r="AH104" i="87"/>
  <c r="M105" i="87"/>
  <c r="AH105" i="87" s="1"/>
  <c r="N149" i="87"/>
  <c r="AI149" i="87" s="1"/>
  <c r="AI148" i="87"/>
  <c r="U158" i="87"/>
  <c r="U160" i="87" s="1"/>
  <c r="AF159" i="87"/>
  <c r="K164" i="87"/>
  <c r="AG166" i="87"/>
  <c r="L171" i="87"/>
  <c r="AG171" i="87" s="1"/>
  <c r="F179" i="87"/>
  <c r="S46" i="67"/>
  <c r="H61" i="67"/>
  <c r="M20" i="67"/>
  <c r="AH12" i="69"/>
  <c r="AJ12" i="69"/>
  <c r="S120" i="67"/>
  <c r="F56" i="67"/>
  <c r="P62" i="67"/>
  <c r="S62" i="67" s="1"/>
  <c r="G35" i="67"/>
  <c r="K38" i="67"/>
  <c r="N38" i="67" s="1"/>
  <c r="N31" i="67"/>
  <c r="Q37" i="67"/>
  <c r="T37" i="67" s="1"/>
  <c r="K45" i="66"/>
  <c r="I44" i="66"/>
  <c r="G43" i="66"/>
  <c r="K41" i="66"/>
  <c r="J40" i="66"/>
  <c r="I39" i="66"/>
  <c r="H38" i="66"/>
  <c r="G37" i="66"/>
  <c r="F36" i="66"/>
  <c r="L34" i="66"/>
  <c r="J7" i="41"/>
  <c r="G17" i="69"/>
  <c r="Z14" i="69"/>
  <c r="AC10" i="69"/>
  <c r="AD10" i="69"/>
  <c r="AB14" i="69"/>
  <c r="N109" i="67"/>
  <c r="I26" i="85"/>
  <c r="I35" i="85" s="1"/>
  <c r="I24" i="85"/>
  <c r="O24" i="85"/>
  <c r="N24" i="85"/>
  <c r="N33" i="85" s="1"/>
  <c r="AL15" i="85"/>
  <c r="T17" i="85"/>
  <c r="AS17" i="85" s="1"/>
  <c r="AS16" i="85"/>
  <c r="AX24" i="85"/>
  <c r="AX7" i="85"/>
  <c r="AX21" i="85"/>
  <c r="AX18" i="85"/>
  <c r="AX19" i="85"/>
  <c r="AX6" i="85"/>
  <c r="AX15" i="85"/>
  <c r="AX14" i="85"/>
  <c r="AX12" i="85"/>
  <c r="D32" i="85"/>
  <c r="AX9" i="85"/>
  <c r="AX17" i="85"/>
  <c r="AX13" i="85"/>
  <c r="Z23" i="85"/>
  <c r="AM15" i="86"/>
  <c r="O12" i="86"/>
  <c r="AO20" i="86"/>
  <c r="AN20" i="86"/>
  <c r="AO15" i="86"/>
  <c r="AV15" i="86"/>
  <c r="AB6" i="86"/>
  <c r="AC18" i="86"/>
  <c r="G21" i="86"/>
  <c r="AE18" i="86"/>
  <c r="AD18" i="86"/>
  <c r="I21" i="86"/>
  <c r="AE21" i="86" s="1"/>
  <c r="AF18" i="86"/>
  <c r="AH18" i="86"/>
  <c r="BI110" i="87"/>
  <c r="BI94" i="87"/>
  <c r="BI120" i="87"/>
  <c r="BI113" i="87"/>
  <c r="AD52" i="87"/>
  <c r="I107" i="87"/>
  <c r="AE107" i="87" s="1"/>
  <c r="V137" i="87"/>
  <c r="V139" i="87" s="1"/>
  <c r="V142" i="87"/>
  <c r="H112" i="87"/>
  <c r="D68" i="87"/>
  <c r="Y68" i="87" s="1"/>
  <c r="O45" i="87"/>
  <c r="F26" i="87"/>
  <c r="F30" i="87"/>
  <c r="AQ15" i="87" s="1"/>
  <c r="M22" i="87"/>
  <c r="AX22" i="87" s="1"/>
  <c r="M24" i="87"/>
  <c r="M26" i="87"/>
  <c r="M30" i="87"/>
  <c r="AX15" i="87" s="1"/>
  <c r="X141" i="87"/>
  <c r="S42" i="67"/>
  <c r="N67" i="67"/>
  <c r="T80" i="67"/>
  <c r="N65" i="67"/>
  <c r="T119" i="67"/>
  <c r="F54" i="67"/>
  <c r="P47" i="67"/>
  <c r="S47" i="67" s="1"/>
  <c r="G49" i="67"/>
  <c r="Q43" i="67"/>
  <c r="T43" i="67" s="1"/>
  <c r="P29" i="67"/>
  <c r="S29" i="67" s="1"/>
  <c r="J26" i="67"/>
  <c r="M26" i="67" s="1"/>
  <c r="D19" i="67"/>
  <c r="D15" i="67"/>
  <c r="D11" i="67"/>
  <c r="G45" i="66"/>
  <c r="K43" i="66"/>
  <c r="K37" i="66"/>
  <c r="F111" i="67"/>
  <c r="P105" i="67"/>
  <c r="S105" i="67" s="1"/>
  <c r="L41" i="66"/>
  <c r="AV8" i="69"/>
  <c r="X8" i="69"/>
  <c r="F115" i="67"/>
  <c r="M115" i="67"/>
  <c r="D115" i="67"/>
  <c r="J24" i="69"/>
  <c r="J33" i="69" s="1"/>
  <c r="AJ11" i="69"/>
  <c r="AI11" i="69"/>
  <c r="AF9" i="86"/>
  <c r="AH9" i="86"/>
  <c r="K12" i="86"/>
  <c r="K13" i="86" s="1"/>
  <c r="M8" i="86"/>
  <c r="AH8" i="86" s="1"/>
  <c r="AH16" i="86"/>
  <c r="AU6" i="86"/>
  <c r="U21" i="85"/>
  <c r="U22" i="85" s="1"/>
  <c r="AQ6" i="85"/>
  <c r="AD119" i="87"/>
  <c r="Q107" i="87"/>
  <c r="Q109" i="87" s="1"/>
  <c r="Q114" i="87"/>
  <c r="Q116" i="87"/>
  <c r="AU59" i="87"/>
  <c r="AU35" i="87"/>
  <c r="N63" i="67"/>
  <c r="N71" i="67"/>
  <c r="M96" i="67"/>
  <c r="M95" i="67"/>
  <c r="G48" i="67"/>
  <c r="K51" i="67"/>
  <c r="N51" i="67" s="1"/>
  <c r="G44" i="67"/>
  <c r="Q50" i="67"/>
  <c r="T50" i="67" s="1"/>
  <c r="K101" i="67"/>
  <c r="N101" i="67" s="1"/>
  <c r="T98" i="67"/>
  <c r="F101" i="67"/>
  <c r="D101" i="67"/>
  <c r="H113" i="67" s="1"/>
  <c r="T111" i="67"/>
  <c r="Q117" i="67"/>
  <c r="T117" i="67" s="1"/>
  <c r="G24" i="69"/>
  <c r="G8" i="69"/>
  <c r="H12" i="69"/>
  <c r="AA7" i="85"/>
  <c r="AB7" i="85"/>
  <c r="M12" i="85"/>
  <c r="AL12" i="85" s="1"/>
  <c r="AM11" i="85"/>
  <c r="AY19" i="86"/>
  <c r="X23" i="86"/>
  <c r="AY9" i="86"/>
  <c r="AY15" i="86"/>
  <c r="AY11" i="86"/>
  <c r="AY23" i="86"/>
  <c r="AF10" i="86"/>
  <c r="AH6" i="86"/>
  <c r="N49" i="67"/>
  <c r="Q21" i="41"/>
  <c r="Q17" i="41"/>
  <c r="L24" i="41"/>
  <c r="M24" i="41" s="1"/>
  <c r="X22" i="69"/>
  <c r="G100" i="67"/>
  <c r="K91" i="67"/>
  <c r="N91" i="67" s="1"/>
  <c r="N88" i="67"/>
  <c r="BC8" i="87"/>
  <c r="S10" i="87"/>
  <c r="BC10" i="87" s="1"/>
  <c r="S12" i="87"/>
  <c r="BC12" i="87" s="1"/>
  <c r="AL21" i="87"/>
  <c r="Q26" i="87"/>
  <c r="B29" i="87"/>
  <c r="D45" i="87"/>
  <c r="D60" i="87" s="1"/>
  <c r="D40" i="87"/>
  <c r="D42" i="87"/>
  <c r="L102" i="87"/>
  <c r="L100" i="87"/>
  <c r="N84" i="67"/>
  <c r="N97" i="67"/>
  <c r="T31" i="67"/>
  <c r="G79" i="67"/>
  <c r="M63" i="67"/>
  <c r="J66" i="67"/>
  <c r="M60" i="67"/>
  <c r="P66" i="67"/>
  <c r="S66" i="67" s="1"/>
  <c r="AV14" i="85"/>
  <c r="AV5" i="85"/>
  <c r="E24" i="87"/>
  <c r="AA24" i="87" s="1"/>
  <c r="E22" i="87"/>
  <c r="E17" i="87"/>
  <c r="Z15" i="87"/>
  <c r="M68" i="67"/>
  <c r="N73" i="67"/>
  <c r="AH9" i="69"/>
  <c r="AJ9" i="69"/>
  <c r="AS14" i="85"/>
  <c r="Y23" i="86"/>
  <c r="AD66" i="87"/>
  <c r="Z5" i="69"/>
  <c r="I12" i="85"/>
  <c r="AF14" i="86"/>
  <c r="R8" i="85"/>
  <c r="R23" i="85" s="1"/>
  <c r="X40" i="87"/>
  <c r="R17" i="87"/>
  <c r="R30" i="87"/>
  <c r="X45" i="87"/>
  <c r="AI44" i="87"/>
  <c r="X96" i="87"/>
  <c r="D81" i="67"/>
  <c r="AL6" i="85"/>
  <c r="AQ8" i="87"/>
  <c r="AE130" i="87"/>
  <c r="BB10" i="87"/>
  <c r="AH36" i="87"/>
  <c r="U66" i="87"/>
  <c r="AD38" i="87"/>
  <c r="AI51" i="87"/>
  <c r="AD71" i="87"/>
  <c r="Z85" i="87"/>
  <c r="AD87" i="87"/>
  <c r="AA102" i="87"/>
  <c r="V130" i="87"/>
  <c r="V132" i="87"/>
  <c r="Z134" i="87"/>
  <c r="D158" i="87"/>
  <c r="D162" i="87" s="1"/>
  <c r="AE157" i="87"/>
  <c r="AG175" i="87"/>
  <c r="U8" i="85"/>
  <c r="Q100" i="87"/>
  <c r="BB100" i="87" s="1"/>
  <c r="AB21" i="87"/>
  <c r="P42" i="87"/>
  <c r="AK42" i="87" s="1"/>
  <c r="AU105" i="87"/>
  <c r="AB102" i="87"/>
  <c r="H12" i="87"/>
  <c r="H10" i="87"/>
  <c r="AC10" i="87" s="1"/>
  <c r="AB36" i="87"/>
  <c r="AJ36" i="87"/>
  <c r="J54" i="87"/>
  <c r="J52" i="87"/>
  <c r="AJ44" i="87"/>
  <c r="AJ51" i="87"/>
  <c r="BB58" i="87"/>
  <c r="BC58" i="87"/>
  <c r="G74" i="87"/>
  <c r="Z73" i="87"/>
  <c r="X78" i="87"/>
  <c r="AA80" i="87"/>
  <c r="AA85" i="87"/>
  <c r="N88" i="87"/>
  <c r="N89" i="87" s="1"/>
  <c r="AE87" i="87"/>
  <c r="Y96" i="87"/>
  <c r="AG96" i="87"/>
  <c r="AC6" i="87"/>
  <c r="Y21" i="87"/>
  <c r="D29" i="87"/>
  <c r="Z29" i="87" s="1"/>
  <c r="AG28" i="87"/>
  <c r="P45" i="87"/>
  <c r="P52" i="87" s="1"/>
  <c r="G66" i="87"/>
  <c r="R66" i="87"/>
  <c r="E68" i="87"/>
  <c r="U68" i="87"/>
  <c r="U72" i="87" s="1"/>
  <c r="P74" i="87"/>
  <c r="K74" i="87"/>
  <c r="S74" i="87"/>
  <c r="N74" i="87"/>
  <c r="Q81" i="87"/>
  <c r="Q89" i="87" s="1"/>
  <c r="T81" i="87"/>
  <c r="T89" i="87" s="1"/>
  <c r="O81" i="87"/>
  <c r="S88" i="87"/>
  <c r="O88" i="87"/>
  <c r="O89" i="87" s="1"/>
  <c r="Y87" i="87"/>
  <c r="AI96" i="87"/>
  <c r="BB102" i="87"/>
  <c r="B114" i="87"/>
  <c r="AL111" i="87"/>
  <c r="X118" i="87"/>
  <c r="B119" i="87"/>
  <c r="AL118" i="87"/>
  <c r="BE126" i="87"/>
  <c r="AI134" i="87"/>
  <c r="AH154" i="87"/>
  <c r="P158" i="87"/>
  <c r="P162" i="87" s="1"/>
  <c r="V164" i="87"/>
  <c r="AD161" i="87"/>
  <c r="Q164" i="87"/>
  <c r="Q178" i="87"/>
  <c r="Q179" i="87" s="1"/>
  <c r="AD177" i="87"/>
  <c r="BF30" i="87"/>
  <c r="AI21" i="87"/>
  <c r="AA28" i="87"/>
  <c r="AE36" i="87"/>
  <c r="AC102" i="87"/>
  <c r="N80" i="98"/>
  <c r="X33" i="98"/>
  <c r="G33" i="98" s="1"/>
  <c r="P33" i="98" s="1"/>
  <c r="X14" i="98"/>
  <c r="G14" i="98" s="1"/>
  <c r="P14" i="98" s="1"/>
  <c r="X28" i="98"/>
  <c r="G28" i="98" s="1"/>
  <c r="P28" i="98" s="1"/>
  <c r="M80" i="98"/>
  <c r="F80" i="98"/>
  <c r="G11" i="98"/>
  <c r="P11" i="98" s="1"/>
  <c r="X25" i="98"/>
  <c r="G25" i="98" s="1"/>
  <c r="P25" i="98" s="1"/>
  <c r="H91" i="67"/>
  <c r="G35" i="85"/>
  <c r="H73" i="67"/>
  <c r="S22" i="69"/>
  <c r="N13" i="85"/>
  <c r="N23" i="85"/>
  <c r="BH12" i="85" s="1"/>
  <c r="BK12" i="85" s="1"/>
  <c r="AH21" i="86"/>
  <c r="G33" i="69"/>
  <c r="C36" i="86"/>
  <c r="Y25" i="86"/>
  <c r="X25" i="86"/>
  <c r="T22" i="86"/>
  <c r="AV17" i="86"/>
  <c r="AU17" i="86"/>
  <c r="AR17" i="86"/>
  <c r="P13" i="69"/>
  <c r="G81" i="67"/>
  <c r="G69" i="67"/>
  <c r="N69" i="67"/>
  <c r="Q75" i="67"/>
  <c r="T75" i="67" s="1"/>
  <c r="D69" i="67"/>
  <c r="T69" i="67"/>
  <c r="Q54" i="67"/>
  <c r="G60" i="67"/>
  <c r="G47" i="67"/>
  <c r="K50" i="67"/>
  <c r="N50" i="67" s="1"/>
  <c r="D47" i="67"/>
  <c r="N47" i="67"/>
  <c r="T47" i="67"/>
  <c r="S6" i="69"/>
  <c r="T8" i="69"/>
  <c r="AQ6" i="69"/>
  <c r="Y16" i="69"/>
  <c r="Z16" i="69"/>
  <c r="F17" i="69"/>
  <c r="J17" i="69"/>
  <c r="AC15" i="69"/>
  <c r="AD15" i="69"/>
  <c r="J26" i="69"/>
  <c r="AM16" i="69"/>
  <c r="AL16" i="69"/>
  <c r="O17" i="69"/>
  <c r="O24" i="69"/>
  <c r="S119" i="67"/>
  <c r="D119" i="67"/>
  <c r="M119" i="67"/>
  <c r="F119" i="67"/>
  <c r="M24" i="85"/>
  <c r="AM5" i="85"/>
  <c r="M8" i="85"/>
  <c r="M26" i="85"/>
  <c r="AT17" i="85"/>
  <c r="T35" i="85"/>
  <c r="AD12" i="85"/>
  <c r="AT25" i="69"/>
  <c r="C34" i="69"/>
  <c r="D36" i="85"/>
  <c r="J22" i="86"/>
  <c r="N95" i="67"/>
  <c r="Q101" i="67"/>
  <c r="T101" i="67" s="1"/>
  <c r="T95" i="67"/>
  <c r="K98" i="67"/>
  <c r="N98" i="67" s="1"/>
  <c r="G95" i="67"/>
  <c r="D95" i="67"/>
  <c r="H95" i="67" s="1"/>
  <c r="J54" i="67"/>
  <c r="M54" i="67" s="1"/>
  <c r="P57" i="67"/>
  <c r="S57" i="67" s="1"/>
  <c r="F63" i="67"/>
  <c r="F50" i="67"/>
  <c r="D50" i="67"/>
  <c r="H50" i="67" s="1"/>
  <c r="F29" i="67"/>
  <c r="F41" i="67"/>
  <c r="D29" i="67"/>
  <c r="J32" i="67"/>
  <c r="M32" i="67" s="1"/>
  <c r="M29" i="67"/>
  <c r="P35" i="67"/>
  <c r="S35" i="67" s="1"/>
  <c r="J28" i="67"/>
  <c r="M28" i="67" s="1"/>
  <c r="S25" i="67"/>
  <c r="P31" i="67"/>
  <c r="S31" i="67" s="1"/>
  <c r="J24" i="67"/>
  <c r="M24" i="67" s="1"/>
  <c r="D21" i="67"/>
  <c r="F33" i="67"/>
  <c r="P27" i="67"/>
  <c r="S27" i="67" s="1"/>
  <c r="M21" i="67"/>
  <c r="D17" i="67"/>
  <c r="P23" i="67"/>
  <c r="S23" i="67" s="1"/>
  <c r="D104" i="67"/>
  <c r="T104" i="67"/>
  <c r="Q110" i="67"/>
  <c r="T110" i="67" s="1"/>
  <c r="G104" i="67"/>
  <c r="G116" i="67"/>
  <c r="K107" i="67"/>
  <c r="N107" i="67" s="1"/>
  <c r="N104" i="67"/>
  <c r="Q113" i="67"/>
  <c r="T113" i="67" s="1"/>
  <c r="D107" i="67"/>
  <c r="G119" i="67"/>
  <c r="T107" i="67"/>
  <c r="K110" i="67"/>
  <c r="N110" i="67" s="1"/>
  <c r="D112" i="67"/>
  <c r="H112" i="67" s="1"/>
  <c r="N112" i="67"/>
  <c r="K115" i="67"/>
  <c r="N115" i="67" s="1"/>
  <c r="Q118" i="67"/>
  <c r="T118" i="67" s="1"/>
  <c r="G112" i="67"/>
  <c r="T112" i="67"/>
  <c r="M117" i="67"/>
  <c r="F117" i="67"/>
  <c r="S117" i="67"/>
  <c r="D117" i="67"/>
  <c r="AQ19" i="69"/>
  <c r="AP19" i="69"/>
  <c r="P21" i="69"/>
  <c r="AP21" i="69" s="1"/>
  <c r="AM19" i="69"/>
  <c r="AA15" i="69"/>
  <c r="G26" i="69"/>
  <c r="Z15" i="69"/>
  <c r="AB15" i="69"/>
  <c r="I24" i="69"/>
  <c r="AM15" i="69"/>
  <c r="AP15" i="69"/>
  <c r="P17" i="69"/>
  <c r="D110" i="67"/>
  <c r="H110" i="67" s="1"/>
  <c r="Q116" i="67"/>
  <c r="T116" i="67" s="1"/>
  <c r="K113" i="67"/>
  <c r="N113" i="67" s="1"/>
  <c r="G110" i="67"/>
  <c r="W26" i="69"/>
  <c r="D35" i="69"/>
  <c r="D27" i="69"/>
  <c r="H26" i="85"/>
  <c r="H8" i="85"/>
  <c r="H13" i="85" s="1"/>
  <c r="AD5" i="85"/>
  <c r="AC5" i="85"/>
  <c r="AX22" i="85"/>
  <c r="Y22" i="85"/>
  <c r="Z22" i="85"/>
  <c r="N12" i="86"/>
  <c r="AN11" i="86"/>
  <c r="N26" i="86"/>
  <c r="N24" i="86"/>
  <c r="O24" i="86"/>
  <c r="O26" i="86"/>
  <c r="AN6" i="86"/>
  <c r="O8" i="86"/>
  <c r="AO6" i="86"/>
  <c r="AO18" i="86"/>
  <c r="AN18" i="86"/>
  <c r="O21" i="86"/>
  <c r="P12" i="86"/>
  <c r="AO11" i="86"/>
  <c r="AV11" i="86"/>
  <c r="P26" i="86"/>
  <c r="AR11" i="86"/>
  <c r="AS11" i="86"/>
  <c r="H51" i="67"/>
  <c r="H64" i="67"/>
  <c r="H82" i="67"/>
  <c r="H94" i="67"/>
  <c r="AN24" i="85"/>
  <c r="O33" i="85"/>
  <c r="H72" i="67"/>
  <c r="H84" i="67"/>
  <c r="Z17" i="69"/>
  <c r="AA17" i="69"/>
  <c r="Y27" i="85"/>
  <c r="H96" i="67"/>
  <c r="H108" i="67"/>
  <c r="N35" i="85"/>
  <c r="H33" i="85"/>
  <c r="G96" i="67"/>
  <c r="Q102" i="67"/>
  <c r="T102" i="67" s="1"/>
  <c r="K99" i="67"/>
  <c r="N99" i="67" s="1"/>
  <c r="G108" i="67"/>
  <c r="G84" i="67"/>
  <c r="K75" i="67"/>
  <c r="N75" i="67" s="1"/>
  <c r="Q78" i="67"/>
  <c r="T78" i="67" s="1"/>
  <c r="AD14" i="69"/>
  <c r="AC14" i="69"/>
  <c r="AB19" i="69"/>
  <c r="I21" i="69"/>
  <c r="AC19" i="69"/>
  <c r="AC5" i="69"/>
  <c r="AB5" i="69"/>
  <c r="I8" i="69"/>
  <c r="I26" i="69"/>
  <c r="O21" i="69"/>
  <c r="AL19" i="69"/>
  <c r="O8" i="69"/>
  <c r="AM8" i="69" s="1"/>
  <c r="O26" i="69"/>
  <c r="AL5" i="69"/>
  <c r="AL7" i="69"/>
  <c r="N24" i="69"/>
  <c r="N8" i="69"/>
  <c r="N26" i="69"/>
  <c r="AM5" i="69"/>
  <c r="AP5" i="69"/>
  <c r="AQ5" i="69"/>
  <c r="P26" i="69"/>
  <c r="AD9" i="85"/>
  <c r="AC9" i="85"/>
  <c r="AO10" i="85"/>
  <c r="P12" i="85"/>
  <c r="AE11" i="85"/>
  <c r="J12" i="85"/>
  <c r="G17" i="85"/>
  <c r="AC14" i="85"/>
  <c r="X26" i="85"/>
  <c r="C35" i="85"/>
  <c r="AR18" i="86"/>
  <c r="AU18" i="86"/>
  <c r="S21" i="86"/>
  <c r="AT6" i="85"/>
  <c r="B33" i="69"/>
  <c r="AS24" i="69"/>
  <c r="B25" i="69"/>
  <c r="P98" i="67"/>
  <c r="S98" i="67" s="1"/>
  <c r="S92" i="67"/>
  <c r="F92" i="67"/>
  <c r="M92" i="67"/>
  <c r="P91" i="67"/>
  <c r="S91" i="67" s="1"/>
  <c r="D85" i="67"/>
  <c r="F97" i="67"/>
  <c r="M85" i="67"/>
  <c r="K79" i="67"/>
  <c r="N79" i="67" s="1"/>
  <c r="N76" i="67"/>
  <c r="Q82" i="67"/>
  <c r="T82" i="67" s="1"/>
  <c r="T76" i="67"/>
  <c r="Y9" i="69"/>
  <c r="F24" i="69"/>
  <c r="F12" i="69"/>
  <c r="Z9" i="69"/>
  <c r="F26" i="69"/>
  <c r="Z18" i="69"/>
  <c r="AA18" i="69"/>
  <c r="G21" i="69"/>
  <c r="AB20" i="69"/>
  <c r="H21" i="69"/>
  <c r="AA20" i="69"/>
  <c r="AA6" i="69"/>
  <c r="H26" i="69"/>
  <c r="AB6" i="69"/>
  <c r="H24" i="69"/>
  <c r="K12" i="69"/>
  <c r="K24" i="69"/>
  <c r="AA10" i="86"/>
  <c r="AB10" i="86"/>
  <c r="F24" i="86"/>
  <c r="F12" i="86"/>
  <c r="F26" i="86"/>
  <c r="AS9" i="86"/>
  <c r="T26" i="86"/>
  <c r="S9" i="86"/>
  <c r="AV9" i="86"/>
  <c r="T12" i="86"/>
  <c r="T8" i="85"/>
  <c r="N54" i="67"/>
  <c r="T54" i="67"/>
  <c r="D54" i="67"/>
  <c r="G54" i="67"/>
  <c r="B76" i="67"/>
  <c r="AG19" i="69"/>
  <c r="AI19" i="69"/>
  <c r="AJ19" i="69"/>
  <c r="AF19" i="69"/>
  <c r="AH19" i="69"/>
  <c r="AK19" i="69"/>
  <c r="M21" i="69"/>
  <c r="AH7" i="69"/>
  <c r="AJ7" i="69"/>
  <c r="M8" i="69"/>
  <c r="M24" i="69"/>
  <c r="AF7" i="69"/>
  <c r="M26" i="69"/>
  <c r="AG7" i="69"/>
  <c r="AL11" i="69"/>
  <c r="O12" i="69"/>
  <c r="N21" i="69"/>
  <c r="AL20" i="69"/>
  <c r="AK20" i="69"/>
  <c r="AM11" i="69"/>
  <c r="AQ11" i="69"/>
  <c r="AC16" i="85"/>
  <c r="AB16" i="85"/>
  <c r="O17" i="85"/>
  <c r="AN16" i="85"/>
  <c r="AE19" i="85"/>
  <c r="J21" i="85"/>
  <c r="AF19" i="85"/>
  <c r="F21" i="86"/>
  <c r="AA20" i="86"/>
  <c r="AB20" i="86"/>
  <c r="G26" i="86"/>
  <c r="AC15" i="86"/>
  <c r="AB15" i="86"/>
  <c r="G24" i="86"/>
  <c r="G17" i="86"/>
  <c r="AC9" i="86"/>
  <c r="AD9" i="86"/>
  <c r="H24" i="86"/>
  <c r="H26" i="86"/>
  <c r="H21" i="86"/>
  <c r="AD20" i="86"/>
  <c r="AC20" i="86"/>
  <c r="I24" i="86"/>
  <c r="I17" i="86"/>
  <c r="AD15" i="86"/>
  <c r="AE15" i="86"/>
  <c r="J26" i="86"/>
  <c r="J12" i="86"/>
  <c r="J24" i="86"/>
  <c r="AF20" i="86"/>
  <c r="AE20" i="86"/>
  <c r="K24" i="86"/>
  <c r="K26" i="86"/>
  <c r="K17" i="86"/>
  <c r="AF15" i="86"/>
  <c r="AM10" i="86"/>
  <c r="AH10" i="86"/>
  <c r="M24" i="86"/>
  <c r="M12" i="86"/>
  <c r="AX57" i="87"/>
  <c r="AX44" i="87"/>
  <c r="AX58" i="87"/>
  <c r="AX60" i="87"/>
  <c r="AX35" i="87"/>
  <c r="AX53" i="87"/>
  <c r="AX38" i="87"/>
  <c r="AX45" i="87"/>
  <c r="AX46" i="87"/>
  <c r="AX51" i="87"/>
  <c r="AX37" i="87"/>
  <c r="AX43" i="87"/>
  <c r="AX41" i="87"/>
  <c r="AX48" i="87"/>
  <c r="AX34" i="87"/>
  <c r="AX55" i="87"/>
  <c r="AX59" i="87"/>
  <c r="V22" i="69"/>
  <c r="W22" i="69"/>
  <c r="J70" i="67"/>
  <c r="M70" i="67" s="1"/>
  <c r="S67" i="67"/>
  <c r="P73" i="67"/>
  <c r="S73" i="67" s="1"/>
  <c r="D67" i="67"/>
  <c r="H67" i="67" s="1"/>
  <c r="M67" i="67"/>
  <c r="Z24" i="86"/>
  <c r="E35" i="86"/>
  <c r="D74" i="67"/>
  <c r="H74" i="67" s="1"/>
  <c r="J77" i="67"/>
  <c r="M77" i="67" s="1"/>
  <c r="F74" i="67"/>
  <c r="M74" i="67"/>
  <c r="F86" i="67"/>
  <c r="N27" i="67"/>
  <c r="G39" i="67"/>
  <c r="K30" i="67"/>
  <c r="N30" i="67" s="1"/>
  <c r="T27" i="67"/>
  <c r="AO6" i="85"/>
  <c r="P8" i="85"/>
  <c r="AD7" i="85"/>
  <c r="AE7" i="85"/>
  <c r="O8" i="85"/>
  <c r="O26" i="85"/>
  <c r="AB10" i="85"/>
  <c r="F12" i="85"/>
  <c r="G24" i="85"/>
  <c r="AC24" i="85" s="1"/>
  <c r="AC11" i="85"/>
  <c r="G12" i="85"/>
  <c r="AB11" i="85"/>
  <c r="AW20" i="85"/>
  <c r="AW18" i="85"/>
  <c r="AW13" i="85"/>
  <c r="AW8" i="85"/>
  <c r="AW7" i="85"/>
  <c r="AW17" i="85"/>
  <c r="C25" i="85"/>
  <c r="X23" i="85"/>
  <c r="AW15" i="85"/>
  <c r="AW24" i="85"/>
  <c r="Y23" i="85"/>
  <c r="AW6" i="85"/>
  <c r="AW10" i="85"/>
  <c r="AW19" i="85"/>
  <c r="C32" i="85"/>
  <c r="AW14" i="85"/>
  <c r="R13" i="85"/>
  <c r="R22" i="85"/>
  <c r="G93" i="67"/>
  <c r="Q99" i="67"/>
  <c r="T99" i="67" s="1"/>
  <c r="G105" i="67"/>
  <c r="K96" i="67"/>
  <c r="N96" i="67" s="1"/>
  <c r="N93" i="67"/>
  <c r="T93" i="67"/>
  <c r="G98" i="67"/>
  <c r="D86" i="67"/>
  <c r="Q92" i="67"/>
  <c r="T92" i="67" s="1"/>
  <c r="G86" i="67"/>
  <c r="K89" i="67"/>
  <c r="N89" i="67" s="1"/>
  <c r="N82" i="67"/>
  <c r="Q88" i="67"/>
  <c r="T88" i="67" s="1"/>
  <c r="G78" i="67"/>
  <c r="K81" i="67"/>
  <c r="N81" i="67" s="1"/>
  <c r="Q84" i="67"/>
  <c r="T84" i="67" s="1"/>
  <c r="D78" i="67"/>
  <c r="G90" i="67"/>
  <c r="F78" i="67"/>
  <c r="D66" i="67"/>
  <c r="M66" i="67"/>
  <c r="J69" i="67"/>
  <c r="M69" i="67" s="1"/>
  <c r="F66" i="67"/>
  <c r="T62" i="67"/>
  <c r="N59" i="67"/>
  <c r="T59" i="67"/>
  <c r="D59" i="67"/>
  <c r="F44" i="67"/>
  <c r="D44" i="67"/>
  <c r="M44" i="67"/>
  <c r="J47" i="67"/>
  <c r="M47" i="67" s="1"/>
  <c r="F57" i="67"/>
  <c r="G52" i="67"/>
  <c r="G40" i="67"/>
  <c r="T40" i="67"/>
  <c r="Q46" i="67"/>
  <c r="T46" i="67" s="1"/>
  <c r="D40" i="67"/>
  <c r="F37" i="67"/>
  <c r="F49" i="67"/>
  <c r="P43" i="67"/>
  <c r="S43" i="67" s="1"/>
  <c r="G45" i="67"/>
  <c r="D33" i="67"/>
  <c r="Q39" i="67"/>
  <c r="T39" i="67" s="1"/>
  <c r="G33" i="67"/>
  <c r="J24" i="85"/>
  <c r="AE6" i="85"/>
  <c r="AF6" i="85"/>
  <c r="G21" i="85"/>
  <c r="AC18" i="85"/>
  <c r="AL19" i="85"/>
  <c r="M21" i="85"/>
  <c r="AB20" i="85"/>
  <c r="F21" i="85"/>
  <c r="E23" i="86"/>
  <c r="BA24" i="86" s="1"/>
  <c r="E13" i="86"/>
  <c r="G66" i="67"/>
  <c r="M45" i="67"/>
  <c r="AD7" i="69"/>
  <c r="U12" i="85"/>
  <c r="O172" i="87"/>
  <c r="I17" i="69"/>
  <c r="AB14" i="86"/>
  <c r="AD112" i="87"/>
  <c r="AD10" i="87"/>
  <c r="AX16" i="85"/>
  <c r="AX5" i="85"/>
  <c r="AR15" i="86"/>
  <c r="U26" i="85"/>
  <c r="AQ5" i="85"/>
  <c r="V162" i="87"/>
  <c r="BF102" i="87"/>
  <c r="BI99" i="87"/>
  <c r="BI101" i="87"/>
  <c r="BI96" i="87"/>
  <c r="O112" i="87"/>
  <c r="AJ105" i="87"/>
  <c r="O116" i="87"/>
  <c r="O107" i="87"/>
  <c r="O114" i="87"/>
  <c r="AY110" i="87"/>
  <c r="AY94" i="87"/>
  <c r="AY106" i="87"/>
  <c r="AY98" i="87"/>
  <c r="AY113" i="87"/>
  <c r="AY101" i="87"/>
  <c r="AY117" i="87"/>
  <c r="AY95" i="87"/>
  <c r="AY99" i="87"/>
  <c r="AY97" i="87"/>
  <c r="AY118" i="87"/>
  <c r="AY115" i="87"/>
  <c r="AY108" i="87"/>
  <c r="AA9" i="69"/>
  <c r="AI5" i="69"/>
  <c r="AJ5" i="69"/>
  <c r="AB7" i="86"/>
  <c r="Q49" i="87"/>
  <c r="AT10" i="69"/>
  <c r="AT5" i="69"/>
  <c r="AT6" i="69"/>
  <c r="V23" i="69"/>
  <c r="M19" i="87"/>
  <c r="H22" i="87"/>
  <c r="H26" i="87"/>
  <c r="H17" i="87"/>
  <c r="H30" i="87"/>
  <c r="H24" i="87"/>
  <c r="AQ7" i="87"/>
  <c r="AQ13" i="87"/>
  <c r="AA30" i="87"/>
  <c r="AQ18" i="87"/>
  <c r="X149" i="87"/>
  <c r="F17" i="87"/>
  <c r="AA15" i="87"/>
  <c r="F22" i="87"/>
  <c r="U165" i="87"/>
  <c r="U162" i="87"/>
  <c r="V52" i="87"/>
  <c r="V47" i="87"/>
  <c r="BF45" i="87"/>
  <c r="Y44" i="87"/>
  <c r="Z44" i="87"/>
  <c r="AG44" i="87"/>
  <c r="AH44" i="87"/>
  <c r="BD44" i="87"/>
  <c r="BE44" i="87"/>
  <c r="Y51" i="87"/>
  <c r="D54" i="87"/>
  <c r="AG51" i="87"/>
  <c r="AH51" i="87"/>
  <c r="AB58" i="87"/>
  <c r="AC58" i="87"/>
  <c r="G59" i="87"/>
  <c r="AK58" i="87"/>
  <c r="O59" i="87"/>
  <c r="X64" i="87"/>
  <c r="C66" i="87"/>
  <c r="Y64" i="87"/>
  <c r="K66" i="87"/>
  <c r="K68" i="87"/>
  <c r="S75" i="87"/>
  <c r="S70" i="87"/>
  <c r="AA65" i="87"/>
  <c r="F68" i="87"/>
  <c r="F66" i="87"/>
  <c r="AB65" i="87"/>
  <c r="N66" i="87"/>
  <c r="N68" i="87"/>
  <c r="I68" i="87"/>
  <c r="AD67" i="87"/>
  <c r="Q75" i="87"/>
  <c r="Q70" i="87"/>
  <c r="Z69" i="87"/>
  <c r="Y69" i="87"/>
  <c r="S167" i="87"/>
  <c r="S169" i="87" s="1"/>
  <c r="AW103" i="87"/>
  <c r="AW99" i="87"/>
  <c r="AW95" i="87"/>
  <c r="AW120" i="87"/>
  <c r="AW98" i="87"/>
  <c r="P75" i="87"/>
  <c r="AI102" i="87"/>
  <c r="AJ102" i="87"/>
  <c r="AF29" i="87"/>
  <c r="AG29" i="87"/>
  <c r="C75" i="87"/>
  <c r="C72" i="87"/>
  <c r="C70" i="87"/>
  <c r="AX7" i="87"/>
  <c r="AX11" i="87"/>
  <c r="AX18" i="87"/>
  <c r="AX28" i="87"/>
  <c r="AX9" i="87"/>
  <c r="AX5" i="87"/>
  <c r="L116" i="87"/>
  <c r="L114" i="87"/>
  <c r="L112" i="87"/>
  <c r="AW105" i="87"/>
  <c r="L107" i="87"/>
  <c r="X112" i="87"/>
  <c r="BD96" i="87"/>
  <c r="T156" i="87"/>
  <c r="BE96" i="87"/>
  <c r="AF98" i="87"/>
  <c r="K102" i="87"/>
  <c r="K100" i="87"/>
  <c r="AF100" i="87" s="1"/>
  <c r="K105" i="87"/>
  <c r="AG98" i="87"/>
  <c r="S160" i="87"/>
  <c r="S162" i="87"/>
  <c r="Q54" i="87"/>
  <c r="Q52" i="87"/>
  <c r="Q60" i="87"/>
  <c r="V22" i="87"/>
  <c r="BF22" i="87" s="1"/>
  <c r="H150" i="87"/>
  <c r="H142" i="87"/>
  <c r="H146" i="87"/>
  <c r="H137" i="87"/>
  <c r="AD137" i="87" s="1"/>
  <c r="AL130" i="87"/>
  <c r="S30" i="87"/>
  <c r="S24" i="87"/>
  <c r="S26" i="87"/>
  <c r="BC15" i="87"/>
  <c r="S17" i="87"/>
  <c r="S22" i="87"/>
  <c r="BC22" i="87" s="1"/>
  <c r="D107" i="87"/>
  <c r="AO105" i="87"/>
  <c r="D112" i="87"/>
  <c r="Y105" i="87"/>
  <c r="D116" i="87"/>
  <c r="Y116" i="87" s="1"/>
  <c r="D114" i="87"/>
  <c r="Z105" i="87"/>
  <c r="BI108" i="87"/>
  <c r="C119" i="87"/>
  <c r="C114" i="87"/>
  <c r="X114" i="87" s="1"/>
  <c r="C116" i="87"/>
  <c r="X116" i="87" s="1"/>
  <c r="Y111" i="87"/>
  <c r="AU118" i="87"/>
  <c r="J119" i="87"/>
  <c r="AE118" i="87"/>
  <c r="BB118" i="87"/>
  <c r="R119" i="87"/>
  <c r="AA126" i="87"/>
  <c r="AB126" i="87"/>
  <c r="AI126" i="87"/>
  <c r="AJ126" i="87"/>
  <c r="V156" i="87"/>
  <c r="BF126" i="87"/>
  <c r="D130" i="87"/>
  <c r="Y130" i="87" s="1"/>
  <c r="Y128" i="87"/>
  <c r="D135" i="87"/>
  <c r="D132" i="87"/>
  <c r="Y132" i="87" s="1"/>
  <c r="Z128" i="87"/>
  <c r="L75" i="87"/>
  <c r="R84" i="87"/>
  <c r="R82" i="87"/>
  <c r="AS44" i="87"/>
  <c r="AC44" i="87"/>
  <c r="P56" i="87"/>
  <c r="AS51" i="87"/>
  <c r="H56" i="87"/>
  <c r="AC56" i="87" s="1"/>
  <c r="AC51" i="87"/>
  <c r="P59" i="87"/>
  <c r="AK59" i="87" s="1"/>
  <c r="AK51" i="87"/>
  <c r="C59" i="87"/>
  <c r="X58" i="87"/>
  <c r="K59" i="87"/>
  <c r="AF58" i="87"/>
  <c r="AG58" i="87"/>
  <c r="AB66" i="87"/>
  <c r="O68" i="87"/>
  <c r="O66" i="87"/>
  <c r="B66" i="87"/>
  <c r="B68" i="87"/>
  <c r="AE65" i="87"/>
  <c r="J68" i="87"/>
  <c r="AC69" i="87"/>
  <c r="H74" i="87"/>
  <c r="X71" i="87"/>
  <c r="C74" i="87"/>
  <c r="F74" i="87"/>
  <c r="AA74" i="87" s="1"/>
  <c r="AA73" i="87"/>
  <c r="AD76" i="87"/>
  <c r="I81" i="87"/>
  <c r="Y78" i="87"/>
  <c r="D81" i="87"/>
  <c r="Z78" i="87"/>
  <c r="L81" i="87"/>
  <c r="L89" i="87" s="1"/>
  <c r="AB80" i="87"/>
  <c r="G81" i="87"/>
  <c r="AB81" i="87" s="1"/>
  <c r="C88" i="87"/>
  <c r="Y88" i="87" s="1"/>
  <c r="X83" i="87"/>
  <c r="Y83" i="87"/>
  <c r="AB85" i="87"/>
  <c r="AC85" i="87"/>
  <c r="G88" i="87"/>
  <c r="AA96" i="87"/>
  <c r="Z96" i="87"/>
  <c r="N162" i="87"/>
  <c r="N165" i="87"/>
  <c r="Z114" i="87"/>
  <c r="AA107" i="87"/>
  <c r="AE81" i="87"/>
  <c r="N112" i="87"/>
  <c r="AI105" i="87"/>
  <c r="N107" i="87"/>
  <c r="N114" i="87"/>
  <c r="N116" i="87"/>
  <c r="AY105" i="87"/>
  <c r="AE156" i="87"/>
  <c r="AU50" i="87"/>
  <c r="AU39" i="87"/>
  <c r="AU53" i="87"/>
  <c r="AU51" i="87"/>
  <c r="AU37" i="87"/>
  <c r="AU55" i="87"/>
  <c r="AU34" i="87"/>
  <c r="AU46" i="87"/>
  <c r="AU48" i="87"/>
  <c r="AU41" i="87"/>
  <c r="AU60" i="87"/>
  <c r="AU44" i="87"/>
  <c r="AU38" i="87"/>
  <c r="AU57" i="87"/>
  <c r="G12" i="87"/>
  <c r="AB8" i="87"/>
  <c r="AC8" i="87"/>
  <c r="K45" i="87"/>
  <c r="K40" i="87"/>
  <c r="AF40" i="87" s="1"/>
  <c r="AG38" i="87"/>
  <c r="S40" i="87"/>
  <c r="S42" i="87"/>
  <c r="BD42" i="87" s="1"/>
  <c r="BC38" i="87"/>
  <c r="S45" i="87"/>
  <c r="J135" i="87"/>
  <c r="J132" i="87"/>
  <c r="AE128" i="87"/>
  <c r="AB134" i="87"/>
  <c r="AA141" i="87"/>
  <c r="AB141" i="87"/>
  <c r="F149" i="87"/>
  <c r="AI141" i="87"/>
  <c r="I150" i="87"/>
  <c r="I149" i="87"/>
  <c r="BB148" i="87"/>
  <c r="Q149" i="87"/>
  <c r="E156" i="87"/>
  <c r="Z156" i="87" s="1"/>
  <c r="Z154" i="87"/>
  <c r="E158" i="87"/>
  <c r="AA154" i="87"/>
  <c r="AI154" i="87"/>
  <c r="M156" i="87"/>
  <c r="AH156" i="87" s="1"/>
  <c r="AD155" i="87"/>
  <c r="H156" i="87"/>
  <c r="AC155" i="87"/>
  <c r="P165" i="87"/>
  <c r="P160" i="87"/>
  <c r="X157" i="87"/>
  <c r="Y157" i="87"/>
  <c r="C158" i="87"/>
  <c r="AG157" i="87"/>
  <c r="AF157" i="87"/>
  <c r="F164" i="87"/>
  <c r="AA164" i="87" s="1"/>
  <c r="AA159" i="87"/>
  <c r="AB159" i="87"/>
  <c r="N164" i="87"/>
  <c r="AI164" i="87" s="1"/>
  <c r="AJ159" i="87"/>
  <c r="Y163" i="87"/>
  <c r="Z163" i="87"/>
  <c r="D164" i="87"/>
  <c r="AH163" i="87"/>
  <c r="L164" i="87"/>
  <c r="G171" i="87"/>
  <c r="AB166" i="87"/>
  <c r="O171" i="87"/>
  <c r="AK166" i="87"/>
  <c r="AJ166" i="87"/>
  <c r="X168" i="87"/>
  <c r="B171" i="87"/>
  <c r="J171" i="87"/>
  <c r="AF171" i="87" s="1"/>
  <c r="AE168" i="87"/>
  <c r="AA170" i="87"/>
  <c r="Z170" i="87"/>
  <c r="AD173" i="87"/>
  <c r="I178" i="87"/>
  <c r="AI175" i="87"/>
  <c r="AH175" i="87"/>
  <c r="T137" i="87"/>
  <c r="T146" i="87"/>
  <c r="T144" i="87"/>
  <c r="AA88" i="87"/>
  <c r="AS41" i="87"/>
  <c r="AS53" i="87"/>
  <c r="AS58" i="87"/>
  <c r="AS50" i="87"/>
  <c r="AS37" i="87"/>
  <c r="AS60" i="87"/>
  <c r="AS39" i="87"/>
  <c r="Z6" i="87"/>
  <c r="Y6" i="87"/>
  <c r="AG6" i="87"/>
  <c r="AH6" i="87"/>
  <c r="Y14" i="87"/>
  <c r="AG14" i="87"/>
  <c r="AH14" i="87"/>
  <c r="G54" i="87"/>
  <c r="G52" i="87"/>
  <c r="M162" i="87"/>
  <c r="M165" i="87"/>
  <c r="Y66" i="87"/>
  <c r="M179" i="87"/>
  <c r="C10" i="87"/>
  <c r="C12" i="87"/>
  <c r="Y12" i="87" s="1"/>
  <c r="C15" i="87"/>
  <c r="Y8" i="87"/>
  <c r="O15" i="87"/>
  <c r="AJ8" i="87"/>
  <c r="O12" i="87"/>
  <c r="AJ12" i="87" s="1"/>
  <c r="O10" i="87"/>
  <c r="AJ10" i="87" s="1"/>
  <c r="T12" i="87"/>
  <c r="BE8" i="87"/>
  <c r="T15" i="87"/>
  <c r="BD8" i="87"/>
  <c r="AA14" i="87"/>
  <c r="AQ14" i="87"/>
  <c r="AI14" i="87"/>
  <c r="AJ14" i="87"/>
  <c r="AD21" i="87"/>
  <c r="I24" i="87"/>
  <c r="I26" i="87"/>
  <c r="AE21" i="87"/>
  <c r="I29" i="87"/>
  <c r="AD28" i="87"/>
  <c r="Q29" i="87"/>
  <c r="AL29" i="87" s="1"/>
  <c r="Z36" i="87"/>
  <c r="AA36" i="87"/>
  <c r="C56" i="87"/>
  <c r="C47" i="87"/>
  <c r="C54" i="87"/>
  <c r="X54" i="87" s="1"/>
  <c r="G132" i="87"/>
  <c r="G135" i="87"/>
  <c r="G130" i="87"/>
  <c r="AB130" i="87" s="1"/>
  <c r="M132" i="87"/>
  <c r="AI128" i="87"/>
  <c r="M135" i="87"/>
  <c r="M130" i="87"/>
  <c r="AH130" i="87" s="1"/>
  <c r="AH128" i="87"/>
  <c r="S130" i="87"/>
  <c r="S135" i="87"/>
  <c r="BD128" i="87"/>
  <c r="F89" i="87"/>
  <c r="K179" i="87"/>
  <c r="AF178" i="87"/>
  <c r="M160" i="87"/>
  <c r="N150" i="87"/>
  <c r="AY141" i="87" s="1"/>
  <c r="N144" i="87"/>
  <c r="N137" i="87"/>
  <c r="N146" i="87"/>
  <c r="AE52" i="87"/>
  <c r="AH40" i="87"/>
  <c r="M47" i="87"/>
  <c r="M52" i="87"/>
  <c r="Z12" i="87"/>
  <c r="G15" i="87"/>
  <c r="AC15" i="87" s="1"/>
  <c r="M72" i="87"/>
  <c r="M75" i="87"/>
  <c r="BE36" i="87"/>
  <c r="G75" i="87"/>
  <c r="G70" i="87"/>
  <c r="AK44" i="87"/>
  <c r="P100" i="87"/>
  <c r="AK100" i="87" s="1"/>
  <c r="P102" i="87"/>
  <c r="AL98" i="87"/>
  <c r="P105" i="87"/>
  <c r="AL105" i="87" s="1"/>
  <c r="AC111" i="87"/>
  <c r="AR111" i="87"/>
  <c r="AY111" i="87"/>
  <c r="AI111" i="87"/>
  <c r="AB118" i="87"/>
  <c r="AR118" i="87"/>
  <c r="AJ118" i="87"/>
  <c r="AI118" i="87"/>
  <c r="N119" i="87"/>
  <c r="AE126" i="87"/>
  <c r="AF126" i="87"/>
  <c r="AS149" i="87"/>
  <c r="BC119" i="87"/>
  <c r="BC36" i="87"/>
  <c r="F40" i="87"/>
  <c r="AA40" i="87" s="1"/>
  <c r="F45" i="87"/>
  <c r="L45" i="87"/>
  <c r="L42" i="87"/>
  <c r="AH38" i="87"/>
  <c r="T45" i="87"/>
  <c r="AE44" i="87"/>
  <c r="AD44" i="87"/>
  <c r="AL44" i="87"/>
  <c r="BB44" i="87"/>
  <c r="I60" i="87"/>
  <c r="I54" i="87"/>
  <c r="AE54" i="87" s="1"/>
  <c r="AL51" i="87"/>
  <c r="BB51" i="87"/>
  <c r="Q59" i="87"/>
  <c r="Y58" i="87"/>
  <c r="D59" i="87"/>
  <c r="Z58" i="87"/>
  <c r="L59" i="87"/>
  <c r="BE58" i="87"/>
  <c r="T59" i="87"/>
  <c r="BD59" i="87" s="1"/>
  <c r="AA67" i="87"/>
  <c r="Y71" i="87"/>
  <c r="AC73" i="87"/>
  <c r="AB73" i="87"/>
  <c r="AE76" i="87"/>
  <c r="G29" i="87"/>
  <c r="AB28" i="87"/>
  <c r="O29" i="87"/>
  <c r="AK28" i="87"/>
  <c r="AJ28" i="87"/>
  <c r="AF36" i="87"/>
  <c r="AG36" i="87"/>
  <c r="B47" i="87"/>
  <c r="B49" i="87" s="1"/>
  <c r="B52" i="87"/>
  <c r="B60" i="87"/>
  <c r="B56" i="87"/>
  <c r="BF98" i="87"/>
  <c r="V105" i="87"/>
  <c r="V100" i="87"/>
  <c r="BF100" i="87" s="1"/>
  <c r="Z100" i="87"/>
  <c r="Y100" i="87"/>
  <c r="AB104" i="87"/>
  <c r="AR104" i="87"/>
  <c r="U130" i="87"/>
  <c r="BF128" i="87"/>
  <c r="U132" i="87"/>
  <c r="U135" i="87"/>
  <c r="BF135" i="87" s="1"/>
  <c r="AG134" i="87"/>
  <c r="AH134" i="87"/>
  <c r="D149" i="87"/>
  <c r="Y141" i="87"/>
  <c r="L149" i="87"/>
  <c r="AH149" i="87" s="1"/>
  <c r="AH141" i="87"/>
  <c r="AW141" i="87"/>
  <c r="BD141" i="87"/>
  <c r="BE141" i="87"/>
  <c r="AJ148" i="87"/>
  <c r="AK148" i="87"/>
  <c r="X154" i="87"/>
  <c r="Y154" i="87"/>
  <c r="K158" i="87"/>
  <c r="F156" i="87"/>
  <c r="AA155" i="87"/>
  <c r="N156" i="87"/>
  <c r="AI155" i="87"/>
  <c r="V165" i="87"/>
  <c r="V172" i="87" s="1"/>
  <c r="AD157" i="87"/>
  <c r="I158" i="87"/>
  <c r="Y159" i="87"/>
  <c r="T164" i="87"/>
  <c r="E171" i="87"/>
  <c r="E179" i="87" s="1"/>
  <c r="AD168" i="87"/>
  <c r="H171" i="87"/>
  <c r="AK168" i="87"/>
  <c r="Y170" i="87"/>
  <c r="X170" i="87"/>
  <c r="O178" i="87"/>
  <c r="AJ173" i="87"/>
  <c r="Y175" i="87"/>
  <c r="X175" i="87"/>
  <c r="AW147" i="87"/>
  <c r="AW125" i="87"/>
  <c r="AW133" i="87"/>
  <c r="AW129" i="87"/>
  <c r="AW145" i="87"/>
  <c r="AW140" i="87"/>
  <c r="E56" i="87"/>
  <c r="Z10" i="87"/>
  <c r="Y10" i="87"/>
  <c r="AA42" i="87"/>
  <c r="AB42" i="87"/>
  <c r="K24" i="87"/>
  <c r="AF12" i="87"/>
  <c r="P12" i="87"/>
  <c r="P10" i="87"/>
  <c r="P15" i="87"/>
  <c r="AK8" i="87"/>
  <c r="AB14" i="87"/>
  <c r="AC14" i="87"/>
  <c r="R26" i="87"/>
  <c r="BB26" i="87" s="1"/>
  <c r="BB21" i="87"/>
  <c r="R24" i="87"/>
  <c r="AE28" i="87"/>
  <c r="AF28" i="87"/>
  <c r="R29" i="87"/>
  <c r="BF36" i="87"/>
  <c r="V66" i="87"/>
  <c r="X38" i="87"/>
  <c r="Y38" i="87"/>
  <c r="C42" i="87"/>
  <c r="X42" i="87" s="1"/>
  <c r="AG178" i="87"/>
  <c r="F160" i="87"/>
  <c r="X144" i="87"/>
  <c r="Q112" i="87"/>
  <c r="AB158" i="87"/>
  <c r="G162" i="87"/>
  <c r="AD59" i="87"/>
  <c r="Q150" i="87"/>
  <c r="Q142" i="87"/>
  <c r="AK6" i="87"/>
  <c r="AL6" i="87"/>
  <c r="T100" i="87"/>
  <c r="BD100" i="87" s="1"/>
  <c r="T105" i="87"/>
  <c r="BE98" i="87"/>
  <c r="AC100" i="87"/>
  <c r="AD100" i="87"/>
  <c r="AH111" i="87"/>
  <c r="AW111" i="87"/>
  <c r="BD111" i="87"/>
  <c r="BE111" i="87"/>
  <c r="AH118" i="87"/>
  <c r="AG118" i="87"/>
  <c r="L119" i="87"/>
  <c r="AL126" i="87"/>
  <c r="AK126" i="87"/>
  <c r="F132" i="87"/>
  <c r="F135" i="87"/>
  <c r="AA128" i="87"/>
  <c r="L137" i="87"/>
  <c r="AG135" i="87"/>
  <c r="L146" i="87"/>
  <c r="AG146" i="87" s="1"/>
  <c r="L142" i="87"/>
  <c r="Q132" i="87"/>
  <c r="AL128" i="87"/>
  <c r="BB128" i="87"/>
  <c r="P142" i="87"/>
  <c r="AK141" i="87"/>
  <c r="P149" i="87"/>
  <c r="AF148" i="87"/>
  <c r="AG148" i="87"/>
  <c r="K149" i="87"/>
  <c r="S149" i="87"/>
  <c r="BC149" i="87" s="1"/>
  <c r="BD148" i="87"/>
  <c r="AB154" i="87"/>
  <c r="G156" i="87"/>
  <c r="AB156" i="87" s="1"/>
  <c r="X155" i="87"/>
  <c r="B156" i="87"/>
  <c r="X156" i="87" s="1"/>
  <c r="AE155" i="87"/>
  <c r="AF155" i="87"/>
  <c r="AD159" i="87"/>
  <c r="H164" i="87"/>
  <c r="AF161" i="87"/>
  <c r="AG161" i="87"/>
  <c r="AG168" i="87"/>
  <c r="AC170" i="87"/>
  <c r="AB170" i="87"/>
  <c r="Y173" i="87"/>
  <c r="X173" i="87"/>
  <c r="S178" i="87"/>
  <c r="AF177" i="87"/>
  <c r="AG177" i="87"/>
  <c r="Z42" i="87"/>
  <c r="AW148" i="87"/>
  <c r="BD29" i="87"/>
  <c r="AA178" i="87"/>
  <c r="AC178" i="87"/>
  <c r="C178" i="87"/>
  <c r="T160" i="87"/>
  <c r="P164" i="87"/>
  <c r="AK164" i="87" s="1"/>
  <c r="T149" i="87"/>
  <c r="AD134" i="87"/>
  <c r="Z111" i="87"/>
  <c r="M89" i="87"/>
  <c r="U81" i="87"/>
  <c r="U89" i="87" s="1"/>
  <c r="AD64" i="87"/>
  <c r="AD51" i="87"/>
  <c r="AB67" i="87"/>
  <c r="BC28" i="87"/>
  <c r="O47" i="87"/>
  <c r="O56" i="87"/>
  <c r="BD38" i="87"/>
  <c r="Y36" i="87"/>
  <c r="O149" i="87"/>
  <c r="BD98" i="87"/>
  <c r="Z168" i="87"/>
  <c r="J164" i="87"/>
  <c r="AE164" i="87" s="1"/>
  <c r="AG170" i="87"/>
  <c r="AA8" i="87"/>
  <c r="F12" i="87"/>
  <c r="AA12" i="87" s="1"/>
  <c r="F10" i="87"/>
  <c r="L10" i="87"/>
  <c r="L15" i="87"/>
  <c r="AH15" i="87" s="1"/>
  <c r="AG8" i="87"/>
  <c r="AH8" i="87"/>
  <c r="L12" i="87"/>
  <c r="BI97" i="87"/>
  <c r="AR105" i="87"/>
  <c r="G112" i="87"/>
  <c r="AC105" i="87"/>
  <c r="G107" i="87"/>
  <c r="G114" i="87"/>
  <c r="AB114" i="87" s="1"/>
  <c r="AA118" i="87"/>
  <c r="F119" i="87"/>
  <c r="AB119" i="87" s="1"/>
  <c r="AQ118" i="87"/>
  <c r="AG130" i="87"/>
  <c r="B80" i="98"/>
  <c r="K80" i="98"/>
  <c r="T74" i="87"/>
  <c r="T70" i="87"/>
  <c r="O74" i="87"/>
  <c r="H81" i="87"/>
  <c r="AD78" i="87"/>
  <c r="P81" i="87"/>
  <c r="P89" i="87" s="1"/>
  <c r="AE85" i="87"/>
  <c r="J88" i="87"/>
  <c r="AD96" i="87"/>
  <c r="AC96" i="87"/>
  <c r="O132" i="87"/>
  <c r="AJ132" i="87" s="1"/>
  <c r="L80" i="98"/>
  <c r="E80" i="98"/>
  <c r="K142" i="87"/>
  <c r="AF135" i="87"/>
  <c r="K150" i="87"/>
  <c r="S107" i="87"/>
  <c r="D75" i="87"/>
  <c r="Y40" i="87"/>
  <c r="AL96" i="87"/>
  <c r="AE42" i="87"/>
  <c r="T165" i="87"/>
  <c r="AF8" i="87"/>
  <c r="K10" i="87"/>
  <c r="AF10" i="87" s="1"/>
  <c r="R116" i="87"/>
  <c r="R112" i="87"/>
  <c r="AO118" i="87"/>
  <c r="Z118" i="87"/>
  <c r="E132" i="87"/>
  <c r="Z132" i="87" s="1"/>
  <c r="E135" i="87"/>
  <c r="AF128" i="87"/>
  <c r="AK128" i="87"/>
  <c r="R47" i="87"/>
  <c r="R56" i="87"/>
  <c r="BB56" i="87" s="1"/>
  <c r="H54" i="87"/>
  <c r="AC54" i="87" s="1"/>
  <c r="H47" i="87"/>
  <c r="AC45" i="87"/>
  <c r="N45" i="87"/>
  <c r="N42" i="87"/>
  <c r="I114" i="87"/>
  <c r="AD105" i="87"/>
  <c r="AJ111" i="87"/>
  <c r="AK111" i="87"/>
  <c r="AS118" i="87"/>
  <c r="AC118" i="87"/>
  <c r="BC126" i="87"/>
  <c r="BD126" i="87"/>
  <c r="H132" i="87"/>
  <c r="H130" i="87"/>
  <c r="AD128" i="87"/>
  <c r="AS128" i="87"/>
  <c r="R158" i="87"/>
  <c r="D171" i="87"/>
  <c r="T171" i="87"/>
  <c r="T179" i="87" s="1"/>
  <c r="N30" i="87"/>
  <c r="AD111" i="87"/>
  <c r="BE59" i="87"/>
  <c r="I56" i="87"/>
  <c r="AD56" i="87" s="1"/>
  <c r="Z74" i="87"/>
  <c r="B12" i="87"/>
  <c r="B15" i="87"/>
  <c r="B10" i="87"/>
  <c r="Q42" i="87"/>
  <c r="AL42" i="87" s="1"/>
  <c r="BE51" i="87"/>
  <c r="AE67" i="87"/>
  <c r="Y80" i="87"/>
  <c r="AA116" i="87"/>
  <c r="F29" i="87"/>
  <c r="BB111" i="87"/>
  <c r="Q119" i="87"/>
  <c r="C150" i="87"/>
  <c r="AN149" i="87" s="1"/>
  <c r="C164" i="87"/>
  <c r="J179" i="87"/>
  <c r="Z14" i="87"/>
  <c r="BE14" i="87"/>
  <c r="AC28" i="87"/>
  <c r="BD36" i="87"/>
  <c r="R42" i="87"/>
  <c r="R40" i="87"/>
  <c r="BB40" i="87" s="1"/>
  <c r="AU58" i="87"/>
  <c r="V68" i="87"/>
  <c r="B74" i="87"/>
  <c r="J74" i="87"/>
  <c r="AE74" i="87" s="1"/>
  <c r="K81" i="87"/>
  <c r="K89" i="87" s="1"/>
  <c r="Q158" i="87"/>
  <c r="B164" i="87"/>
  <c r="C171" i="87"/>
  <c r="S171" i="87"/>
  <c r="S176" i="87" s="1"/>
  <c r="U178" i="87"/>
  <c r="U179" i="87" s="1"/>
  <c r="H158" i="87"/>
  <c r="R171" i="87"/>
  <c r="R179" i="87" s="1"/>
  <c r="AC175" i="87"/>
  <c r="AE8" i="87"/>
  <c r="R74" i="87"/>
  <c r="Y126" i="87"/>
  <c r="L158" i="87"/>
  <c r="AH158" i="87" s="1"/>
  <c r="AB155" i="87"/>
  <c r="N171" i="87"/>
  <c r="AI171" i="87" s="1"/>
  <c r="AA51" i="87"/>
  <c r="AE78" i="87"/>
  <c r="AF118" i="87"/>
  <c r="R22" i="41" l="1"/>
  <c r="C142" i="87"/>
  <c r="X142" i="87" s="1"/>
  <c r="C137" i="87"/>
  <c r="Z27" i="85"/>
  <c r="N22" i="85"/>
  <c r="AK26" i="86"/>
  <c r="AL26" i="86"/>
  <c r="AY23" i="85"/>
  <c r="AY8" i="85"/>
  <c r="AY10" i="85"/>
  <c r="AY24" i="85"/>
  <c r="AY6" i="85"/>
  <c r="AY14" i="85"/>
  <c r="AY15" i="85"/>
  <c r="AY5" i="85"/>
  <c r="E32" i="85"/>
  <c r="AY21" i="85"/>
  <c r="AY17" i="85"/>
  <c r="AY20" i="85"/>
  <c r="AY16" i="85"/>
  <c r="AY9" i="85"/>
  <c r="E25" i="85"/>
  <c r="AY7" i="85"/>
  <c r="AY12" i="85"/>
  <c r="AY11" i="85"/>
  <c r="AY19" i="85"/>
  <c r="AY18" i="85"/>
  <c r="H107" i="67"/>
  <c r="AM22" i="86"/>
  <c r="R18" i="41"/>
  <c r="Q22" i="41"/>
  <c r="Q18" i="41"/>
  <c r="Q14" i="41"/>
  <c r="C52" i="87"/>
  <c r="X52" i="87" s="1"/>
  <c r="C60" i="87"/>
  <c r="R15" i="41"/>
  <c r="R14" i="41"/>
  <c r="AQ21" i="69"/>
  <c r="BF10" i="87"/>
  <c r="H30" i="67"/>
  <c r="Q15" i="41"/>
  <c r="Q16" i="41"/>
  <c r="R16" i="41" s="1"/>
  <c r="L16" i="41" s="1"/>
  <c r="H66" i="67"/>
  <c r="AD42" i="87"/>
  <c r="H115" i="67"/>
  <c r="H120" i="67"/>
  <c r="BF15" i="87"/>
  <c r="Q20" i="41"/>
  <c r="R20" i="41" s="1"/>
  <c r="L20" i="41" s="1"/>
  <c r="P70" i="87"/>
  <c r="W25" i="69"/>
  <c r="AU25" i="69"/>
  <c r="Q137" i="87"/>
  <c r="Q139" i="87" s="1"/>
  <c r="X107" i="87"/>
  <c r="C109" i="87"/>
  <c r="AC130" i="87"/>
  <c r="R19" i="41"/>
  <c r="AQ112" i="87"/>
  <c r="AC119" i="87"/>
  <c r="X135" i="87"/>
  <c r="AY22" i="85"/>
  <c r="BB29" i="87"/>
  <c r="O120" i="87"/>
  <c r="AZ105" i="87" s="1"/>
  <c r="BD102" i="87"/>
  <c r="G176" i="87"/>
  <c r="P54" i="87"/>
  <c r="AD107" i="87"/>
  <c r="H36" i="67"/>
  <c r="AK135" i="87"/>
  <c r="G167" i="87"/>
  <c r="AA26" i="87"/>
  <c r="P23" i="41"/>
  <c r="D38" i="86"/>
  <c r="Y27" i="86"/>
  <c r="AS21" i="86"/>
  <c r="AN141" i="87"/>
  <c r="AJ135" i="87"/>
  <c r="U23" i="85"/>
  <c r="BD10" i="87"/>
  <c r="AK17" i="69"/>
  <c r="Z66" i="87"/>
  <c r="AA114" i="87"/>
  <c r="AB40" i="87"/>
  <c r="AG40" i="87"/>
  <c r="AF156" i="87"/>
  <c r="AL45" i="87"/>
  <c r="O137" i="87"/>
  <c r="S89" i="87"/>
  <c r="T72" i="87"/>
  <c r="BF42" i="87"/>
  <c r="AS57" i="87"/>
  <c r="AS35" i="87"/>
  <c r="AH10" i="87"/>
  <c r="R142" i="87"/>
  <c r="E52" i="87"/>
  <c r="AJ164" i="87"/>
  <c r="AI156" i="87"/>
  <c r="O142" i="87"/>
  <c r="AK142" i="87" s="1"/>
  <c r="Q30" i="87"/>
  <c r="BB30" i="87" s="1"/>
  <c r="Q24" i="87"/>
  <c r="BB24" i="87" s="1"/>
  <c r="Q22" i="87"/>
  <c r="BB22" i="87" s="1"/>
  <c r="Q17" i="87"/>
  <c r="Q19" i="87" s="1"/>
  <c r="H37" i="67"/>
  <c r="P47" i="87"/>
  <c r="AL47" i="87" s="1"/>
  <c r="O146" i="87"/>
  <c r="E89" i="87"/>
  <c r="L13" i="41"/>
  <c r="AH178" i="87"/>
  <c r="AI59" i="87"/>
  <c r="AG12" i="69"/>
  <c r="AI12" i="69"/>
  <c r="E47" i="87"/>
  <c r="AJ156" i="87"/>
  <c r="AA89" i="87"/>
  <c r="T26" i="69"/>
  <c r="AJ100" i="87"/>
  <c r="AO51" i="87"/>
  <c r="AO58" i="87"/>
  <c r="Z54" i="87"/>
  <c r="I109" i="87"/>
  <c r="E19" i="87"/>
  <c r="AD8" i="86"/>
  <c r="AE8" i="86"/>
  <c r="B36" i="85"/>
  <c r="X27" i="85"/>
  <c r="K17" i="87"/>
  <c r="AF15" i="87"/>
  <c r="K22" i="87"/>
  <c r="K26" i="87"/>
  <c r="AF26" i="87" s="1"/>
  <c r="K30" i="87"/>
  <c r="AW101" i="87"/>
  <c r="AW113" i="87"/>
  <c r="AW106" i="87"/>
  <c r="AW117" i="87"/>
  <c r="AW94" i="87"/>
  <c r="AW108" i="87"/>
  <c r="AW115" i="87"/>
  <c r="AW110" i="87"/>
  <c r="AW97" i="87"/>
  <c r="K22" i="69"/>
  <c r="AD21" i="69"/>
  <c r="AW104" i="87"/>
  <c r="AX21" i="87"/>
  <c r="U19" i="87"/>
  <c r="BH19" i="87" s="1"/>
  <c r="BH17" i="87"/>
  <c r="AW118" i="87"/>
  <c r="AF8" i="85"/>
  <c r="K23" i="85"/>
  <c r="BE8" i="85" s="1"/>
  <c r="K13" i="85"/>
  <c r="AP22" i="87"/>
  <c r="D47" i="87"/>
  <c r="D52" i="87"/>
  <c r="AS21" i="85"/>
  <c r="T22" i="85"/>
  <c r="AS22" i="85" s="1"/>
  <c r="AC12" i="86"/>
  <c r="H13" i="86"/>
  <c r="H87" i="67"/>
  <c r="H75" i="67"/>
  <c r="T150" i="87"/>
  <c r="T142" i="87"/>
  <c r="S120" i="87"/>
  <c r="S114" i="87"/>
  <c r="BC105" i="87"/>
  <c r="S116" i="87"/>
  <c r="AA26" i="85"/>
  <c r="F35" i="85"/>
  <c r="AI100" i="87"/>
  <c r="AH100" i="87"/>
  <c r="AD22" i="85"/>
  <c r="B165" i="87"/>
  <c r="B180" i="87" s="1"/>
  <c r="B162" i="87"/>
  <c r="B160" i="87"/>
  <c r="AR5" i="86"/>
  <c r="AU5" i="86"/>
  <c r="K35" i="85"/>
  <c r="AF26" i="85"/>
  <c r="AB26" i="85"/>
  <c r="E75" i="87"/>
  <c r="E72" i="87"/>
  <c r="E70" i="87"/>
  <c r="Z68" i="87"/>
  <c r="R19" i="87"/>
  <c r="BB19" i="87" s="1"/>
  <c r="AQ9" i="87"/>
  <c r="AQ27" i="87"/>
  <c r="AQ23" i="87"/>
  <c r="AQ30" i="87"/>
  <c r="AQ20" i="87"/>
  <c r="AQ21" i="87"/>
  <c r="AQ28" i="87"/>
  <c r="AQ16" i="87"/>
  <c r="AQ25" i="87"/>
  <c r="AQ4" i="87"/>
  <c r="AQ11" i="87"/>
  <c r="AQ5" i="87"/>
  <c r="H62" i="67"/>
  <c r="J160" i="87"/>
  <c r="J165" i="87"/>
  <c r="J162" i="87"/>
  <c r="F33" i="85"/>
  <c r="AA24" i="85"/>
  <c r="R17" i="41"/>
  <c r="L17" i="41" s="1"/>
  <c r="L18" i="41"/>
  <c r="AG17" i="69"/>
  <c r="AF17" i="69"/>
  <c r="AH17" i="69"/>
  <c r="AJ17" i="69"/>
  <c r="AI17" i="69"/>
  <c r="AN21" i="85"/>
  <c r="AO21" i="85"/>
  <c r="AW143" i="87"/>
  <c r="AW136" i="87"/>
  <c r="AW124" i="87"/>
  <c r="AW131" i="87"/>
  <c r="AW150" i="87"/>
  <c r="AW138" i="87"/>
  <c r="AW127" i="87"/>
  <c r="AW134" i="87"/>
  <c r="AE116" i="87"/>
  <c r="AP27" i="87"/>
  <c r="AP18" i="87"/>
  <c r="AP8" i="87"/>
  <c r="AP23" i="87"/>
  <c r="AP7" i="87"/>
  <c r="AP20" i="87"/>
  <c r="AP25" i="87"/>
  <c r="AP14" i="87"/>
  <c r="AP9" i="87"/>
  <c r="AP5" i="87"/>
  <c r="AP13" i="87"/>
  <c r="AP30" i="87"/>
  <c r="AP11" i="87"/>
  <c r="AP15" i="87"/>
  <c r="AP16" i="87"/>
  <c r="AP4" i="87"/>
  <c r="AP21" i="87"/>
  <c r="V72" i="87"/>
  <c r="H93" i="67"/>
  <c r="X27" i="86"/>
  <c r="G174" i="87"/>
  <c r="G47" i="87"/>
  <c r="AK158" i="87"/>
  <c r="AD24" i="85"/>
  <c r="I33" i="85"/>
  <c r="M116" i="87"/>
  <c r="AI116" i="87" s="1"/>
  <c r="M107" i="87"/>
  <c r="M109" i="87" s="1"/>
  <c r="M114" i="87"/>
  <c r="AI114" i="87" s="1"/>
  <c r="M112" i="87"/>
  <c r="AX112" i="87" s="1"/>
  <c r="M120" i="87"/>
  <c r="H92" i="67"/>
  <c r="H80" i="67"/>
  <c r="D17" i="87"/>
  <c r="D19" i="87" s="1"/>
  <c r="D30" i="87"/>
  <c r="AO29" i="87" s="1"/>
  <c r="D26" i="87"/>
  <c r="Z26" i="87" s="1"/>
  <c r="D24" i="87"/>
  <c r="Z24" i="87" s="1"/>
  <c r="D22" i="87"/>
  <c r="Z22" i="87" s="1"/>
  <c r="O23" i="41"/>
  <c r="L15" i="41"/>
  <c r="I13" i="86"/>
  <c r="AD13" i="86" s="1"/>
  <c r="AH29" i="87"/>
  <c r="AI29" i="87"/>
  <c r="AX29" i="87"/>
  <c r="J80" i="67"/>
  <c r="M80" i="67" s="1"/>
  <c r="F77" i="67"/>
  <c r="D77" i="67"/>
  <c r="P83" i="67"/>
  <c r="S83" i="67" s="1"/>
  <c r="F89" i="67"/>
  <c r="H31" i="67"/>
  <c r="R77" i="87"/>
  <c r="R79" i="87" s="1"/>
  <c r="R90" i="87"/>
  <c r="R86" i="87"/>
  <c r="AG144" i="87"/>
  <c r="AD21" i="85"/>
  <c r="X146" i="87"/>
  <c r="AI40" i="87"/>
  <c r="G13" i="86"/>
  <c r="AB8" i="86"/>
  <c r="AJ40" i="87"/>
  <c r="K33" i="85"/>
  <c r="R114" i="87"/>
  <c r="BB114" i="87" s="1"/>
  <c r="BB105" i="87"/>
  <c r="R107" i="87"/>
  <c r="Z40" i="87"/>
  <c r="AB74" i="87"/>
  <c r="AL100" i="87"/>
  <c r="AA156" i="87"/>
  <c r="G169" i="87"/>
  <c r="BB112" i="87"/>
  <c r="G60" i="87"/>
  <c r="U75" i="87"/>
  <c r="Z116" i="87"/>
  <c r="BC30" i="87"/>
  <c r="AA66" i="87"/>
  <c r="O162" i="87"/>
  <c r="AK162" i="87" s="1"/>
  <c r="R32" i="85"/>
  <c r="R27" i="85"/>
  <c r="R36" i="85" s="1"/>
  <c r="AA12" i="69"/>
  <c r="H13" i="69"/>
  <c r="AA13" i="69" s="1"/>
  <c r="O52" i="87"/>
  <c r="AK52" i="87" s="1"/>
  <c r="O60" i="87"/>
  <c r="O54" i="87"/>
  <c r="AK54" i="87" s="1"/>
  <c r="AH171" i="87"/>
  <c r="F162" i="87"/>
  <c r="AB162" i="87" s="1"/>
  <c r="F165" i="87"/>
  <c r="AX25" i="86"/>
  <c r="B36" i="86"/>
  <c r="AF17" i="85"/>
  <c r="BE17" i="85"/>
  <c r="I23" i="85"/>
  <c r="BC8" i="85" s="1"/>
  <c r="BF8" i="85" s="1"/>
  <c r="AD12" i="86"/>
  <c r="AM8" i="86"/>
  <c r="L22" i="41"/>
  <c r="AH102" i="87"/>
  <c r="L14" i="41"/>
  <c r="R146" i="87"/>
  <c r="BB146" i="87" s="1"/>
  <c r="R150" i="87"/>
  <c r="BB150" i="87" s="1"/>
  <c r="R144" i="87"/>
  <c r="BB144" i="87" s="1"/>
  <c r="BB135" i="87"/>
  <c r="L179" i="87"/>
  <c r="AG179" i="87" s="1"/>
  <c r="H102" i="67"/>
  <c r="H114" i="67"/>
  <c r="X81" i="87"/>
  <c r="H46" i="67"/>
  <c r="P146" i="87"/>
  <c r="AK146" i="87" s="1"/>
  <c r="P144" i="87"/>
  <c r="AL144" i="87" s="1"/>
  <c r="P137" i="87"/>
  <c r="N26" i="87"/>
  <c r="AI26" i="87" s="1"/>
  <c r="N17" i="87"/>
  <c r="N22" i="87"/>
  <c r="AI22" i="87" s="1"/>
  <c r="N24" i="87"/>
  <c r="AI24" i="87" s="1"/>
  <c r="AX50" i="87"/>
  <c r="AX39" i="87"/>
  <c r="AL135" i="87"/>
  <c r="X171" i="87"/>
  <c r="BB116" i="87"/>
  <c r="BB142" i="87"/>
  <c r="B179" i="87"/>
  <c r="AG100" i="87"/>
  <c r="U70" i="87"/>
  <c r="V17" i="87"/>
  <c r="O160" i="87"/>
  <c r="AJ160" i="87" s="1"/>
  <c r="H101" i="67"/>
  <c r="P60" i="87"/>
  <c r="AK60" i="87" s="1"/>
  <c r="AK45" i="87"/>
  <c r="D165" i="87"/>
  <c r="D180" i="87" s="1"/>
  <c r="D160" i="87"/>
  <c r="Z8" i="69"/>
  <c r="AA8" i="69"/>
  <c r="D70" i="87"/>
  <c r="Y70" i="87" s="1"/>
  <c r="D72" i="87"/>
  <c r="AI178" i="87"/>
  <c r="AD15" i="87"/>
  <c r="I22" i="87"/>
  <c r="AT22" i="87" s="1"/>
  <c r="I30" i="87"/>
  <c r="I17" i="87"/>
  <c r="I19" i="87" s="1"/>
  <c r="AV13" i="69"/>
  <c r="X13" i="69"/>
  <c r="R12" i="41"/>
  <c r="L12" i="41" s="1"/>
  <c r="Z119" i="87"/>
  <c r="AP119" i="87"/>
  <c r="BD119" i="87"/>
  <c r="BE119" i="87"/>
  <c r="J24" i="87"/>
  <c r="AF24" i="87" s="1"/>
  <c r="J30" i="87"/>
  <c r="AU15" i="87" s="1"/>
  <c r="J17" i="87"/>
  <c r="AE15" i="87"/>
  <c r="J22" i="87"/>
  <c r="K22" i="85"/>
  <c r="BE22" i="85" s="1"/>
  <c r="S12" i="69"/>
  <c r="AP12" i="69" s="1"/>
  <c r="AP9" i="69"/>
  <c r="AW128" i="87"/>
  <c r="S112" i="87"/>
  <c r="BC112" i="87" s="1"/>
  <c r="Y45" i="87"/>
  <c r="Y114" i="87"/>
  <c r="D56" i="87"/>
  <c r="Z56" i="87" s="1"/>
  <c r="AJ158" i="87"/>
  <c r="H54" i="67"/>
  <c r="AM12" i="85"/>
  <c r="I13" i="85"/>
  <c r="AQ21" i="85"/>
  <c r="AT21" i="85"/>
  <c r="AX25" i="87"/>
  <c r="AX27" i="87"/>
  <c r="AX16" i="87"/>
  <c r="AX30" i="87"/>
  <c r="AX23" i="87"/>
  <c r="AX13" i="87"/>
  <c r="AX4" i="87"/>
  <c r="AX20" i="87"/>
  <c r="AX8" i="87"/>
  <c r="AX14" i="87"/>
  <c r="BH107" i="87"/>
  <c r="BI107" i="87" s="1"/>
  <c r="U109" i="87"/>
  <c r="BH109" i="87" s="1"/>
  <c r="BI109" i="87" s="1"/>
  <c r="AL17" i="85"/>
  <c r="AE8" i="85"/>
  <c r="AV16" i="69"/>
  <c r="AV21" i="69"/>
  <c r="AV9" i="69"/>
  <c r="AV14" i="69"/>
  <c r="AV5" i="69"/>
  <c r="AV7" i="69"/>
  <c r="AV23" i="69"/>
  <c r="AV22" i="69"/>
  <c r="AV19" i="69"/>
  <c r="AV15" i="69"/>
  <c r="E27" i="69"/>
  <c r="E36" i="69" s="1"/>
  <c r="X23" i="69"/>
  <c r="AV6" i="69"/>
  <c r="AV12" i="69"/>
  <c r="AV20" i="69"/>
  <c r="E32" i="69"/>
  <c r="AV10" i="69"/>
  <c r="E25" i="69"/>
  <c r="AV18" i="69"/>
  <c r="AV17" i="69"/>
  <c r="AV11" i="69"/>
  <c r="R21" i="41"/>
  <c r="L21" i="41" s="1"/>
  <c r="AD12" i="87"/>
  <c r="B34" i="85"/>
  <c r="AV25" i="85"/>
  <c r="U54" i="87"/>
  <c r="U56" i="87"/>
  <c r="U60" i="87"/>
  <c r="U47" i="87"/>
  <c r="U49" i="87" s="1"/>
  <c r="U52" i="87"/>
  <c r="BF52" i="87" s="1"/>
  <c r="AB12" i="69"/>
  <c r="AA59" i="87"/>
  <c r="AE10" i="87"/>
  <c r="AA112" i="87"/>
  <c r="AP29" i="87"/>
  <c r="H75" i="87"/>
  <c r="H86" i="87" s="1"/>
  <c r="H70" i="87"/>
  <c r="AC68" i="87"/>
  <c r="H72" i="87"/>
  <c r="AC72" i="87" s="1"/>
  <c r="H117" i="67"/>
  <c r="Y29" i="87"/>
  <c r="AY120" i="87"/>
  <c r="AY103" i="87"/>
  <c r="BF40" i="87"/>
  <c r="X29" i="87"/>
  <c r="L19" i="41"/>
  <c r="G13" i="69"/>
  <c r="AU29" i="87"/>
  <c r="AE12" i="87"/>
  <c r="S8" i="86"/>
  <c r="AV8" i="86"/>
  <c r="AS8" i="86"/>
  <c r="S77" i="67"/>
  <c r="AC116" i="87"/>
  <c r="AB116" i="87"/>
  <c r="J13" i="69"/>
  <c r="AC12" i="69"/>
  <c r="AQ16" i="69"/>
  <c r="T17" i="69"/>
  <c r="T22" i="69" s="1"/>
  <c r="BE10" i="87"/>
  <c r="BH10" i="87"/>
  <c r="Z45" i="87"/>
  <c r="E60" i="87"/>
  <c r="AP59" i="87" s="1"/>
  <c r="AP45" i="87"/>
  <c r="H55" i="67"/>
  <c r="AC66" i="87"/>
  <c r="AE26" i="85"/>
  <c r="U27" i="85"/>
  <c r="BN11" i="85"/>
  <c r="Q11" i="85" s="1"/>
  <c r="AP11" i="85" s="1"/>
  <c r="BN20" i="85"/>
  <c r="Q20" i="85" s="1"/>
  <c r="U32" i="85"/>
  <c r="BN18" i="85"/>
  <c r="Q18" i="85" s="1"/>
  <c r="AP18" i="85" s="1"/>
  <c r="BN5" i="85"/>
  <c r="Q5" i="85" s="1"/>
  <c r="BN14" i="85"/>
  <c r="Q14" i="85" s="1"/>
  <c r="AP14" i="85" s="1"/>
  <c r="BN8" i="85"/>
  <c r="BN9" i="85"/>
  <c r="Q9" i="85" s="1"/>
  <c r="BN23" i="85"/>
  <c r="BN15" i="85"/>
  <c r="Q15" i="85" s="1"/>
  <c r="AP15" i="85" s="1"/>
  <c r="BN19" i="85"/>
  <c r="Q19" i="85" s="1"/>
  <c r="AP19" i="85" s="1"/>
  <c r="BN7" i="85"/>
  <c r="Q7" i="85" s="1"/>
  <c r="AP7" i="85" s="1"/>
  <c r="BN6" i="85"/>
  <c r="Q6" i="85" s="1"/>
  <c r="AP6" i="85" s="1"/>
  <c r="BN10" i="85"/>
  <c r="Q10" i="85" s="1"/>
  <c r="AP10" i="85" s="1"/>
  <c r="BN16" i="85"/>
  <c r="Q16" i="85" s="1"/>
  <c r="BN21" i="85"/>
  <c r="BN17" i="85"/>
  <c r="AD13" i="85"/>
  <c r="AA179" i="87"/>
  <c r="Q160" i="87"/>
  <c r="Q165" i="87"/>
  <c r="Q162" i="87"/>
  <c r="AL119" i="87"/>
  <c r="Q120" i="87"/>
  <c r="T90" i="87"/>
  <c r="T77" i="87"/>
  <c r="T79" i="87" s="1"/>
  <c r="T86" i="87"/>
  <c r="T82" i="87"/>
  <c r="T84" i="87"/>
  <c r="Y171" i="87"/>
  <c r="D176" i="87"/>
  <c r="AI45" i="87"/>
  <c r="N47" i="87"/>
  <c r="N54" i="87"/>
  <c r="N56" i="87"/>
  <c r="AI56" i="87" s="1"/>
  <c r="N52" i="87"/>
  <c r="N60" i="87"/>
  <c r="AJ45" i="87"/>
  <c r="D86" i="87"/>
  <c r="D77" i="87"/>
  <c r="D84" i="87"/>
  <c r="D90" i="87"/>
  <c r="D82" i="87"/>
  <c r="Z75" i="87"/>
  <c r="Y75" i="87"/>
  <c r="G109" i="87"/>
  <c r="AC107" i="87"/>
  <c r="AB107" i="87"/>
  <c r="BD149" i="87"/>
  <c r="BE149" i="87"/>
  <c r="BE105" i="87"/>
  <c r="T114" i="87"/>
  <c r="T107" i="87"/>
  <c r="T120" i="87"/>
  <c r="T112" i="87"/>
  <c r="T116" i="87"/>
  <c r="BD105" i="87"/>
  <c r="AF158" i="87"/>
  <c r="K160" i="87"/>
  <c r="AF160" i="87" s="1"/>
  <c r="K162" i="87"/>
  <c r="AF162" i="87" s="1"/>
  <c r="K165" i="87"/>
  <c r="S144" i="87"/>
  <c r="BC144" i="87" s="1"/>
  <c r="BC135" i="87"/>
  <c r="S146" i="87"/>
  <c r="BC146" i="87" s="1"/>
  <c r="S137" i="87"/>
  <c r="S150" i="87"/>
  <c r="BD135" i="87"/>
  <c r="S142" i="87"/>
  <c r="AJ171" i="87"/>
  <c r="O174" i="87"/>
  <c r="AT150" i="87"/>
  <c r="AT145" i="87"/>
  <c r="AT125" i="87"/>
  <c r="AT135" i="87"/>
  <c r="AT136" i="87"/>
  <c r="AT124" i="87"/>
  <c r="AT143" i="87"/>
  <c r="AT133" i="87"/>
  <c r="AT129" i="87"/>
  <c r="AD150" i="87"/>
  <c r="AT141" i="87"/>
  <c r="AT134" i="87"/>
  <c r="AT148" i="87"/>
  <c r="AT138" i="87"/>
  <c r="AT147" i="87"/>
  <c r="AT140" i="87"/>
  <c r="AT128" i="87"/>
  <c r="AT127" i="87"/>
  <c r="AT131" i="87"/>
  <c r="N167" i="87"/>
  <c r="N172" i="87"/>
  <c r="AI165" i="87"/>
  <c r="N180" i="87"/>
  <c r="AJ165" i="87"/>
  <c r="N176" i="87"/>
  <c r="N174" i="87"/>
  <c r="O70" i="87"/>
  <c r="O72" i="87"/>
  <c r="O75" i="87"/>
  <c r="X59" i="87"/>
  <c r="AN59" i="87"/>
  <c r="AK56" i="87"/>
  <c r="AD146" i="87"/>
  <c r="P82" i="87"/>
  <c r="P84" i="87"/>
  <c r="P90" i="87"/>
  <c r="P86" i="87"/>
  <c r="P77" i="87"/>
  <c r="P79" i="87" s="1"/>
  <c r="N72" i="87"/>
  <c r="N75" i="87"/>
  <c r="N70" i="87"/>
  <c r="K75" i="87"/>
  <c r="K72" i="87"/>
  <c r="K70" i="87"/>
  <c r="AS22" i="87"/>
  <c r="AD22" i="87"/>
  <c r="Y72" i="87"/>
  <c r="AJ144" i="87"/>
  <c r="AK144" i="87"/>
  <c r="M22" i="85"/>
  <c r="AL21" i="85"/>
  <c r="AM21" i="85"/>
  <c r="H57" i="67"/>
  <c r="H44" i="67"/>
  <c r="AN8" i="85"/>
  <c r="O23" i="85"/>
  <c r="BI17" i="85" s="1"/>
  <c r="O13" i="85"/>
  <c r="AE12" i="86"/>
  <c r="J13" i="86"/>
  <c r="AF12" i="86"/>
  <c r="H23" i="86"/>
  <c r="BD24" i="86" s="1"/>
  <c r="BH24" i="86" s="1"/>
  <c r="H22" i="86"/>
  <c r="AD21" i="86"/>
  <c r="AC21" i="86"/>
  <c r="N22" i="69"/>
  <c r="AK21" i="69"/>
  <c r="T13" i="85"/>
  <c r="T23" i="85"/>
  <c r="AS8" i="85"/>
  <c r="AA12" i="86"/>
  <c r="F13" i="86"/>
  <c r="F23" i="86"/>
  <c r="BB12" i="86" s="1"/>
  <c r="AB12" i="86"/>
  <c r="H35" i="69"/>
  <c r="AA26" i="69"/>
  <c r="F35" i="69"/>
  <c r="Y26" i="69"/>
  <c r="N23" i="69"/>
  <c r="BE8" i="69" s="1"/>
  <c r="AK8" i="69"/>
  <c r="N13" i="69"/>
  <c r="AB26" i="69"/>
  <c r="I35" i="69"/>
  <c r="AN12" i="86"/>
  <c r="N23" i="86"/>
  <c r="BJ12" i="86" s="1"/>
  <c r="N13" i="86"/>
  <c r="AM12" i="86"/>
  <c r="H35" i="85"/>
  <c r="AC26" i="85"/>
  <c r="AD26" i="85"/>
  <c r="J35" i="69"/>
  <c r="AC26" i="69"/>
  <c r="AD26" i="69"/>
  <c r="J23" i="86"/>
  <c r="BF22" i="86" s="1"/>
  <c r="R160" i="87"/>
  <c r="R162" i="87"/>
  <c r="R165" i="87"/>
  <c r="L17" i="87"/>
  <c r="L24" i="87"/>
  <c r="L26" i="87"/>
  <c r="L30" i="87"/>
  <c r="AW112" i="87" s="1"/>
  <c r="L22" i="87"/>
  <c r="AG15" i="87"/>
  <c r="AV149" i="87"/>
  <c r="AF149" i="87"/>
  <c r="F150" i="87"/>
  <c r="AQ135" i="87" s="1"/>
  <c r="F137" i="87"/>
  <c r="AA135" i="87"/>
  <c r="F146" i="87"/>
  <c r="F144" i="87"/>
  <c r="F142" i="87"/>
  <c r="I160" i="87"/>
  <c r="AD158" i="87"/>
  <c r="I162" i="87"/>
  <c r="I165" i="87"/>
  <c r="AG149" i="87"/>
  <c r="AW149" i="87"/>
  <c r="BF130" i="87"/>
  <c r="BE130" i="87"/>
  <c r="AD54" i="87"/>
  <c r="AH42" i="87"/>
  <c r="AG42" i="87"/>
  <c r="BC130" i="87"/>
  <c r="BD130" i="87"/>
  <c r="AB135" i="87"/>
  <c r="G144" i="87"/>
  <c r="G137" i="87"/>
  <c r="G146" i="87"/>
  <c r="G142" i="87"/>
  <c r="G150" i="87"/>
  <c r="AR135" i="87" s="1"/>
  <c r="AC135" i="87"/>
  <c r="G49" i="87"/>
  <c r="AI162" i="87"/>
  <c r="BB119" i="87"/>
  <c r="R120" i="87"/>
  <c r="AN119" i="87"/>
  <c r="Y119" i="87"/>
  <c r="X119" i="87"/>
  <c r="D109" i="87"/>
  <c r="Y107" i="87"/>
  <c r="Z107" i="87"/>
  <c r="BC26" i="87"/>
  <c r="AC142" i="87"/>
  <c r="AS142" i="87"/>
  <c r="AD142" i="87"/>
  <c r="C82" i="87"/>
  <c r="C77" i="87"/>
  <c r="C90" i="87"/>
  <c r="C86" i="87"/>
  <c r="C84" i="87"/>
  <c r="AI160" i="87"/>
  <c r="S174" i="87"/>
  <c r="V49" i="87"/>
  <c r="BF49" i="87" s="1"/>
  <c r="BF47" i="87"/>
  <c r="AA17" i="87"/>
  <c r="F19" i="87"/>
  <c r="AB17" i="69"/>
  <c r="H45" i="67"/>
  <c r="H33" i="67"/>
  <c r="J37" i="86"/>
  <c r="AE26" i="86"/>
  <c r="H37" i="86"/>
  <c r="AC26" i="86"/>
  <c r="AD26" i="86"/>
  <c r="G37" i="86"/>
  <c r="AB26" i="86"/>
  <c r="O22" i="85"/>
  <c r="AO17" i="85"/>
  <c r="AN17" i="85"/>
  <c r="O13" i="69"/>
  <c r="AM13" i="69" s="1"/>
  <c r="AL12" i="69"/>
  <c r="F76" i="67"/>
  <c r="F88" i="67"/>
  <c r="J79" i="67"/>
  <c r="M79" i="67" s="1"/>
  <c r="S76" i="67"/>
  <c r="D76" i="67"/>
  <c r="M76" i="67"/>
  <c r="P82" i="67"/>
  <c r="S82" i="67" s="1"/>
  <c r="AA24" i="86"/>
  <c r="F35" i="86"/>
  <c r="BB24" i="86"/>
  <c r="B34" i="69"/>
  <c r="AS25" i="69"/>
  <c r="N33" i="69"/>
  <c r="BE24" i="69"/>
  <c r="AK24" i="69"/>
  <c r="I13" i="69"/>
  <c r="AC8" i="69"/>
  <c r="I23" i="69"/>
  <c r="AZ24" i="69" s="1"/>
  <c r="AB8" i="69"/>
  <c r="AO8" i="86"/>
  <c r="AN8" i="86"/>
  <c r="O13" i="86"/>
  <c r="BK8" i="86"/>
  <c r="O23" i="86"/>
  <c r="D36" i="69"/>
  <c r="W27" i="69"/>
  <c r="Z26" i="69"/>
  <c r="G35" i="69"/>
  <c r="H119" i="67"/>
  <c r="S8" i="69"/>
  <c r="T13" i="69"/>
  <c r="AQ8" i="69"/>
  <c r="T23" i="69"/>
  <c r="BJ8" i="69" s="1"/>
  <c r="AM12" i="69"/>
  <c r="AA29" i="87"/>
  <c r="AQ29" i="87"/>
  <c r="H49" i="87"/>
  <c r="AD47" i="87"/>
  <c r="AC47" i="87"/>
  <c r="E146" i="87"/>
  <c r="E142" i="87"/>
  <c r="E144" i="87"/>
  <c r="E150" i="87"/>
  <c r="AP135" i="87" s="1"/>
  <c r="Z135" i="87"/>
  <c r="E137" i="87"/>
  <c r="S109" i="87"/>
  <c r="BC107" i="87"/>
  <c r="AB112" i="87"/>
  <c r="AG10" i="87"/>
  <c r="AJ149" i="87"/>
  <c r="AA132" i="87"/>
  <c r="AK132" i="87"/>
  <c r="P30" i="87"/>
  <c r="AL15" i="87"/>
  <c r="P17" i="87"/>
  <c r="P22" i="87"/>
  <c r="P26" i="87"/>
  <c r="P24" i="87"/>
  <c r="AK15" i="87"/>
  <c r="AP52" i="87"/>
  <c r="Z52" i="87"/>
  <c r="AC171" i="87"/>
  <c r="H179" i="87"/>
  <c r="AJ29" i="87"/>
  <c r="AK29" i="87"/>
  <c r="AG59" i="87"/>
  <c r="AH59" i="87"/>
  <c r="AT53" i="87"/>
  <c r="AT34" i="87"/>
  <c r="AT45" i="87"/>
  <c r="AT55" i="87"/>
  <c r="AT39" i="87"/>
  <c r="AT60" i="87"/>
  <c r="AT43" i="87"/>
  <c r="AT50" i="87"/>
  <c r="AT59" i="87"/>
  <c r="AT46" i="87"/>
  <c r="AT58" i="87"/>
  <c r="AT37" i="87"/>
  <c r="AT41" i="87"/>
  <c r="AT48" i="87"/>
  <c r="AT38" i="87"/>
  <c r="AD60" i="87"/>
  <c r="AT44" i="87"/>
  <c r="AT57" i="87"/>
  <c r="AT35" i="87"/>
  <c r="AT51" i="87"/>
  <c r="AG45" i="87"/>
  <c r="L47" i="87"/>
  <c r="AH47" i="87" s="1"/>
  <c r="L60" i="87"/>
  <c r="AW59" i="87" s="1"/>
  <c r="L56" i="87"/>
  <c r="L52" i="87"/>
  <c r="AH45" i="87"/>
  <c r="L54" i="87"/>
  <c r="AF179" i="87"/>
  <c r="AB132" i="87"/>
  <c r="AR60" i="87"/>
  <c r="AR34" i="87"/>
  <c r="AR55" i="87"/>
  <c r="AR46" i="87"/>
  <c r="AR48" i="87"/>
  <c r="AR45" i="87"/>
  <c r="AC60" i="87"/>
  <c r="AR41" i="87"/>
  <c r="AR57" i="87"/>
  <c r="AR39" i="87"/>
  <c r="AR53" i="87"/>
  <c r="AR37" i="87"/>
  <c r="AR44" i="87"/>
  <c r="AR58" i="87"/>
  <c r="AR50" i="87"/>
  <c r="AR35" i="87"/>
  <c r="AR51" i="87"/>
  <c r="AR43" i="87"/>
  <c r="AR38" i="87"/>
  <c r="AB171" i="87"/>
  <c r="G180" i="87"/>
  <c r="G179" i="87"/>
  <c r="AB179" i="87" s="1"/>
  <c r="E162" i="87"/>
  <c r="E160" i="87"/>
  <c r="Z160" i="87" s="1"/>
  <c r="E165" i="87"/>
  <c r="Z158" i="87"/>
  <c r="AA158" i="87"/>
  <c r="AE132" i="87"/>
  <c r="AF132" i="87"/>
  <c r="AB88" i="87"/>
  <c r="AC88" i="87"/>
  <c r="G89" i="87"/>
  <c r="AB89" i="87" s="1"/>
  <c r="BC24" i="87"/>
  <c r="AS147" i="87"/>
  <c r="AS143" i="87"/>
  <c r="AS148" i="87"/>
  <c r="AS129" i="87"/>
  <c r="AS145" i="87"/>
  <c r="AS135" i="87"/>
  <c r="AS133" i="87"/>
  <c r="AS134" i="87"/>
  <c r="AS140" i="87"/>
  <c r="AS141" i="87"/>
  <c r="AS138" i="87"/>
  <c r="AS136" i="87"/>
  <c r="AS124" i="87"/>
  <c r="AS131" i="87"/>
  <c r="AS150" i="87"/>
  <c r="AS127" i="87"/>
  <c r="AS125" i="87"/>
  <c r="AJ112" i="87"/>
  <c r="AC112" i="87"/>
  <c r="AJ172" i="87"/>
  <c r="H59" i="67"/>
  <c r="H71" i="67"/>
  <c r="C34" i="85"/>
  <c r="Y25" i="85"/>
  <c r="AW25" i="85"/>
  <c r="X25" i="85"/>
  <c r="AB12" i="85"/>
  <c r="G23" i="85"/>
  <c r="BA21" i="85" s="1"/>
  <c r="G13" i="85"/>
  <c r="AC13" i="85" s="1"/>
  <c r="K23" i="86"/>
  <c r="BG17" i="86" s="1"/>
  <c r="AF17" i="86"/>
  <c r="AH17" i="86"/>
  <c r="AC24" i="86"/>
  <c r="H35" i="86"/>
  <c r="AI21" i="69"/>
  <c r="M22" i="69"/>
  <c r="AG21" i="69"/>
  <c r="AH21" i="69"/>
  <c r="AF21" i="69"/>
  <c r="AJ21" i="69"/>
  <c r="T23" i="86"/>
  <c r="BP12" i="86" s="1"/>
  <c r="T13" i="86"/>
  <c r="AS12" i="86"/>
  <c r="AV12" i="86"/>
  <c r="Y12" i="69"/>
  <c r="Z12" i="69"/>
  <c r="F13" i="69"/>
  <c r="F23" i="69"/>
  <c r="AW12" i="69" s="1"/>
  <c r="P23" i="86"/>
  <c r="BL12" i="86" s="1"/>
  <c r="BM12" i="86" s="1"/>
  <c r="P13" i="86"/>
  <c r="AO12" i="86"/>
  <c r="AM17" i="69"/>
  <c r="AP17" i="69"/>
  <c r="AP6" i="69"/>
  <c r="S26" i="69"/>
  <c r="T174" i="87"/>
  <c r="T172" i="87"/>
  <c r="T176" i="87"/>
  <c r="T180" i="87"/>
  <c r="T167" i="87"/>
  <c r="T169" i="87" s="1"/>
  <c r="AV136" i="87"/>
  <c r="AV129" i="87"/>
  <c r="AV138" i="87"/>
  <c r="AV141" i="87"/>
  <c r="AV150" i="87"/>
  <c r="AV125" i="87"/>
  <c r="AG150" i="87"/>
  <c r="AV135" i="87"/>
  <c r="AV124" i="87"/>
  <c r="AV127" i="87"/>
  <c r="AV147" i="87"/>
  <c r="AV134" i="87"/>
  <c r="AV140" i="87"/>
  <c r="AV128" i="87"/>
  <c r="AV145" i="87"/>
  <c r="AV133" i="87"/>
  <c r="AV143" i="87"/>
  <c r="AV131" i="87"/>
  <c r="AV148" i="87"/>
  <c r="AA10" i="87"/>
  <c r="AB10" i="87"/>
  <c r="C179" i="87"/>
  <c r="X179" i="87" s="1"/>
  <c r="Y178" i="87"/>
  <c r="X178" i="87"/>
  <c r="BC116" i="87"/>
  <c r="BB132" i="87"/>
  <c r="AL132" i="87"/>
  <c r="AK10" i="87"/>
  <c r="AL10" i="87"/>
  <c r="Z47" i="87"/>
  <c r="E49" i="87"/>
  <c r="Y149" i="87"/>
  <c r="Z149" i="87"/>
  <c r="F52" i="87"/>
  <c r="AB52" i="87" s="1"/>
  <c r="AA45" i="87"/>
  <c r="F54" i="87"/>
  <c r="AA54" i="87" s="1"/>
  <c r="F56" i="87"/>
  <c r="F47" i="87"/>
  <c r="AB47" i="87" s="1"/>
  <c r="F60" i="87"/>
  <c r="AQ45" i="87" s="1"/>
  <c r="AI119" i="87"/>
  <c r="AY119" i="87"/>
  <c r="AJ119" i="87"/>
  <c r="G90" i="87"/>
  <c r="G84" i="87"/>
  <c r="G77" i="87"/>
  <c r="G82" i="87"/>
  <c r="AC75" i="87"/>
  <c r="G86" i="87"/>
  <c r="AD29" i="87"/>
  <c r="AT29" i="87"/>
  <c r="O24" i="87"/>
  <c r="AJ24" i="87" s="1"/>
  <c r="O22" i="87"/>
  <c r="O17" i="87"/>
  <c r="O30" i="87"/>
  <c r="AZ15" i="87" s="1"/>
  <c r="AJ15" i="87"/>
  <c r="O26" i="87"/>
  <c r="AJ26" i="87" s="1"/>
  <c r="M172" i="87"/>
  <c r="M174" i="87"/>
  <c r="M167" i="87"/>
  <c r="M176" i="87"/>
  <c r="M180" i="87"/>
  <c r="AI130" i="87"/>
  <c r="BD144" i="87"/>
  <c r="AE171" i="87"/>
  <c r="J176" i="87"/>
  <c r="J180" i="87"/>
  <c r="AG164" i="87"/>
  <c r="AH164" i="87"/>
  <c r="P172" i="87"/>
  <c r="AK172" i="87" s="1"/>
  <c r="P180" i="87"/>
  <c r="P176" i="87"/>
  <c r="P174" i="87"/>
  <c r="AK174" i="87" s="1"/>
  <c r="P167" i="87"/>
  <c r="AK165" i="87"/>
  <c r="AA149" i="87"/>
  <c r="J144" i="87"/>
  <c r="J150" i="87"/>
  <c r="AF150" i="87" s="1"/>
  <c r="J142" i="87"/>
  <c r="AF142" i="87" s="1"/>
  <c r="J137" i="87"/>
  <c r="AE135" i="87"/>
  <c r="J146" i="87"/>
  <c r="K54" i="87"/>
  <c r="AF54" i="87" s="1"/>
  <c r="K56" i="87"/>
  <c r="AF56" i="87" s="1"/>
  <c r="K52" i="87"/>
  <c r="AF45" i="87"/>
  <c r="K60" i="87"/>
  <c r="AV45" i="87" s="1"/>
  <c r="K47" i="87"/>
  <c r="N109" i="87"/>
  <c r="AI109" i="87" s="1"/>
  <c r="AI107" i="87"/>
  <c r="X74" i="87"/>
  <c r="J72" i="87"/>
  <c r="J70" i="87"/>
  <c r="J75" i="87"/>
  <c r="AE68" i="87"/>
  <c r="AE29" i="87"/>
  <c r="J174" i="87"/>
  <c r="AL52" i="87"/>
  <c r="BB52" i="87"/>
  <c r="AH114" i="87"/>
  <c r="AH112" i="87"/>
  <c r="S180" i="87"/>
  <c r="X66" i="87"/>
  <c r="AD171" i="87"/>
  <c r="AJ137" i="87"/>
  <c r="O139" i="87"/>
  <c r="AK137" i="87"/>
  <c r="O180" i="87"/>
  <c r="G22" i="85"/>
  <c r="AC21" i="85"/>
  <c r="AB21" i="85"/>
  <c r="P23" i="85"/>
  <c r="AQ23" i="85" s="1"/>
  <c r="AO8" i="85"/>
  <c r="AQ8" i="85"/>
  <c r="AT8" i="85"/>
  <c r="K37" i="86"/>
  <c r="AF26" i="86"/>
  <c r="AH26" i="86"/>
  <c r="H22" i="69"/>
  <c r="H23" i="69"/>
  <c r="AY21" i="69" s="1"/>
  <c r="AA21" i="69"/>
  <c r="Y24" i="69"/>
  <c r="F33" i="69"/>
  <c r="H85" i="67"/>
  <c r="H97" i="67"/>
  <c r="P35" i="69"/>
  <c r="AM26" i="69"/>
  <c r="O37" i="86"/>
  <c r="AN26" i="86"/>
  <c r="BK26" i="86"/>
  <c r="V25" i="69"/>
  <c r="M35" i="85"/>
  <c r="AL26" i="85"/>
  <c r="O33" i="69"/>
  <c r="AL24" i="69"/>
  <c r="J23" i="69"/>
  <c r="BA17" i="69" s="1"/>
  <c r="AD17" i="69"/>
  <c r="AC17" i="69"/>
  <c r="J22" i="69"/>
  <c r="H81" i="67"/>
  <c r="H69" i="67"/>
  <c r="K22" i="86"/>
  <c r="P23" i="69"/>
  <c r="BG13" i="69" s="1"/>
  <c r="BH13" i="69" s="1"/>
  <c r="V75" i="87"/>
  <c r="V82" i="87" s="1"/>
  <c r="V70" i="87"/>
  <c r="B17" i="87"/>
  <c r="B19" i="87" s="1"/>
  <c r="B26" i="87"/>
  <c r="B22" i="87"/>
  <c r="B30" i="87"/>
  <c r="B24" i="87"/>
  <c r="AN135" i="87"/>
  <c r="AD130" i="87"/>
  <c r="H89" i="87"/>
  <c r="AC81" i="87"/>
  <c r="AN148" i="87"/>
  <c r="AG142" i="87"/>
  <c r="AW142" i="87"/>
  <c r="AB160" i="87"/>
  <c r="AK12" i="87"/>
  <c r="AL12" i="87"/>
  <c r="AJ178" i="87"/>
  <c r="O179" i="87"/>
  <c r="AK179" i="87" s="1"/>
  <c r="AK178" i="87"/>
  <c r="Z171" i="87"/>
  <c r="AA171" i="87"/>
  <c r="Y59" i="87"/>
  <c r="Z59" i="87"/>
  <c r="AO59" i="87"/>
  <c r="P114" i="87"/>
  <c r="AK105" i="87"/>
  <c r="P116" i="87"/>
  <c r="P107" i="87"/>
  <c r="P112" i="87"/>
  <c r="AK112" i="87" s="1"/>
  <c r="P120" i="87"/>
  <c r="AK120" i="87" s="1"/>
  <c r="AH52" i="87"/>
  <c r="AX52" i="87"/>
  <c r="N139" i="87"/>
  <c r="N179" i="87"/>
  <c r="AI179" i="87" s="1"/>
  <c r="M137" i="87"/>
  <c r="M146" i="87"/>
  <c r="AH146" i="87" s="1"/>
  <c r="AH135" i="87"/>
  <c r="M144" i="87"/>
  <c r="AH144" i="87" s="1"/>
  <c r="M142" i="87"/>
  <c r="M150" i="87"/>
  <c r="AX135" i="87" s="1"/>
  <c r="C49" i="87"/>
  <c r="X47" i="87"/>
  <c r="BD146" i="87"/>
  <c r="S54" i="87"/>
  <c r="BC54" i="87" s="1"/>
  <c r="S56" i="87"/>
  <c r="BC56" i="87" s="1"/>
  <c r="S47" i="87"/>
  <c r="BC45" i="87"/>
  <c r="S52" i="87"/>
  <c r="BC52" i="87" s="1"/>
  <c r="S60" i="87"/>
  <c r="BC60" i="87" s="1"/>
  <c r="AF59" i="87"/>
  <c r="AU119" i="87"/>
  <c r="AE119" i="87"/>
  <c r="AF119" i="87"/>
  <c r="K116" i="87"/>
  <c r="AF116" i="87" s="1"/>
  <c r="K112" i="87"/>
  <c r="AG112" i="87" s="1"/>
  <c r="K114" i="87"/>
  <c r="AF114" i="87" s="1"/>
  <c r="K120" i="87"/>
  <c r="AV105" i="87" s="1"/>
  <c r="K107" i="87"/>
  <c r="AG105" i="87"/>
  <c r="AF105" i="87"/>
  <c r="AH116" i="87"/>
  <c r="AC70" i="87"/>
  <c r="F70" i="87"/>
  <c r="AA70" i="87" s="1"/>
  <c r="F75" i="87"/>
  <c r="AA68" i="87"/>
  <c r="F72" i="87"/>
  <c r="AB68" i="87"/>
  <c r="AS18" i="87"/>
  <c r="AS9" i="87"/>
  <c r="AS8" i="87"/>
  <c r="AS23" i="87"/>
  <c r="AS5" i="87"/>
  <c r="AS20" i="87"/>
  <c r="AS4" i="87"/>
  <c r="AS52" i="87"/>
  <c r="AS30" i="87"/>
  <c r="AS14" i="87"/>
  <c r="AS25" i="87"/>
  <c r="AS11" i="87"/>
  <c r="AD30" i="87"/>
  <c r="AS27" i="87"/>
  <c r="AS29" i="87"/>
  <c r="AS13" i="87"/>
  <c r="AS16" i="87"/>
  <c r="AS21" i="87"/>
  <c r="AS7" i="87"/>
  <c r="AS28" i="87"/>
  <c r="AJ142" i="87"/>
  <c r="U35" i="85"/>
  <c r="AN31" i="85"/>
  <c r="AQ26" i="85"/>
  <c r="BN26" i="85"/>
  <c r="AT26" i="85"/>
  <c r="AS112" i="87"/>
  <c r="O176" i="87"/>
  <c r="AJ176" i="87" s="1"/>
  <c r="Z13" i="86"/>
  <c r="BA13" i="86"/>
  <c r="G33" i="85"/>
  <c r="AB24" i="85"/>
  <c r="BA24" i="85"/>
  <c r="K35" i="86"/>
  <c r="AF24" i="86"/>
  <c r="AD17" i="86"/>
  <c r="I23" i="86"/>
  <c r="AE17" i="86"/>
  <c r="I22" i="86"/>
  <c r="AE22" i="86" s="1"/>
  <c r="AA21" i="86"/>
  <c r="F22" i="86"/>
  <c r="BB21" i="86"/>
  <c r="AB21" i="86"/>
  <c r="AF26" i="69"/>
  <c r="M35" i="69"/>
  <c r="AI26" i="69"/>
  <c r="AH26" i="69"/>
  <c r="AG26" i="69"/>
  <c r="AJ26" i="69"/>
  <c r="AU9" i="86"/>
  <c r="AR9" i="86"/>
  <c r="S26" i="86"/>
  <c r="S12" i="86"/>
  <c r="K33" i="69"/>
  <c r="AD24" i="69"/>
  <c r="AC17" i="85"/>
  <c r="AB17" i="85"/>
  <c r="BA17" i="85"/>
  <c r="AL26" i="69"/>
  <c r="O35" i="69"/>
  <c r="BK21" i="86"/>
  <c r="AN21" i="86"/>
  <c r="AO21" i="86"/>
  <c r="O22" i="86"/>
  <c r="O35" i="86"/>
  <c r="BK24" i="86"/>
  <c r="BM24" i="86" s="1"/>
  <c r="AN24" i="86"/>
  <c r="AM21" i="69"/>
  <c r="P22" i="69"/>
  <c r="AP22" i="69" s="1"/>
  <c r="AC12" i="85"/>
  <c r="M23" i="85"/>
  <c r="AM8" i="85"/>
  <c r="AL8" i="85"/>
  <c r="M13" i="85"/>
  <c r="AM13" i="85" s="1"/>
  <c r="AL17" i="69"/>
  <c r="F22" i="69"/>
  <c r="Y17" i="69"/>
  <c r="Z24" i="69"/>
  <c r="AY4" i="87"/>
  <c r="AY9" i="87"/>
  <c r="AI30" i="87"/>
  <c r="AY13" i="87"/>
  <c r="AY5" i="87"/>
  <c r="AY11" i="87"/>
  <c r="AY7" i="87"/>
  <c r="AY8" i="87"/>
  <c r="AY29" i="87"/>
  <c r="AY14" i="87"/>
  <c r="AY18" i="87"/>
  <c r="AY22" i="87"/>
  <c r="AY142" i="87"/>
  <c r="AY23" i="87"/>
  <c r="AY20" i="87"/>
  <c r="AY15" i="87"/>
  <c r="AY21" i="87"/>
  <c r="AY27" i="87"/>
  <c r="AY25" i="87"/>
  <c r="AY30" i="87"/>
  <c r="AY28" i="87"/>
  <c r="AY16" i="87"/>
  <c r="AV142" i="87"/>
  <c r="AA119" i="87"/>
  <c r="AQ119" i="87"/>
  <c r="AG12" i="87"/>
  <c r="AH12" i="87"/>
  <c r="S179" i="87"/>
  <c r="AK149" i="87"/>
  <c r="P150" i="87"/>
  <c r="AH119" i="87"/>
  <c r="AW119" i="87"/>
  <c r="AG119" i="87"/>
  <c r="R139" i="87"/>
  <c r="BB139" i="87" s="1"/>
  <c r="BB137" i="87"/>
  <c r="AB29" i="87"/>
  <c r="M84" i="87"/>
  <c r="M77" i="87"/>
  <c r="M79" i="87" s="1"/>
  <c r="M90" i="87"/>
  <c r="M82" i="87"/>
  <c r="M86" i="87"/>
  <c r="M49" i="87"/>
  <c r="AE158" i="87"/>
  <c r="X56" i="87"/>
  <c r="AD26" i="87"/>
  <c r="AE26" i="87"/>
  <c r="T24" i="87"/>
  <c r="T22" i="87"/>
  <c r="T30" i="87"/>
  <c r="BD15" i="87"/>
  <c r="T26" i="87"/>
  <c r="T17" i="87"/>
  <c r="BE15" i="87"/>
  <c r="C30" i="87"/>
  <c r="AN15" i="87" s="1"/>
  <c r="C26" i="87"/>
  <c r="C22" i="87"/>
  <c r="C17" i="87"/>
  <c r="C24" i="87"/>
  <c r="Y15" i="87"/>
  <c r="X15" i="87"/>
  <c r="T139" i="87"/>
  <c r="BD137" i="87"/>
  <c r="AD178" i="87"/>
  <c r="AE178" i="87"/>
  <c r="I179" i="87"/>
  <c r="AD179" i="87" s="1"/>
  <c r="Y164" i="87"/>
  <c r="Z164" i="87"/>
  <c r="AC156" i="87"/>
  <c r="AL149" i="87"/>
  <c r="BB149" i="87"/>
  <c r="AI112" i="87"/>
  <c r="AY112" i="87"/>
  <c r="Z81" i="87"/>
  <c r="Y81" i="87"/>
  <c r="D89" i="87"/>
  <c r="AC74" i="87"/>
  <c r="AD74" i="87"/>
  <c r="B72" i="87"/>
  <c r="X72" i="87" s="1"/>
  <c r="B75" i="87"/>
  <c r="B70" i="87"/>
  <c r="D174" i="87"/>
  <c r="BB54" i="87"/>
  <c r="AL54" i="87"/>
  <c r="AD156" i="87"/>
  <c r="AC114" i="87"/>
  <c r="Q77" i="87"/>
  <c r="Q79" i="87" s="1"/>
  <c r="Q84" i="87"/>
  <c r="Q90" i="87"/>
  <c r="Q82" i="87"/>
  <c r="Q86" i="87"/>
  <c r="AZ59" i="87"/>
  <c r="AJ59" i="87"/>
  <c r="Y56" i="87"/>
  <c r="H19" i="87"/>
  <c r="AJ114" i="87"/>
  <c r="O150" i="87"/>
  <c r="BA7" i="86"/>
  <c r="BA20" i="86"/>
  <c r="BA18" i="86"/>
  <c r="BA15" i="86"/>
  <c r="BA21" i="86"/>
  <c r="BA23" i="86"/>
  <c r="BA19" i="86"/>
  <c r="E27" i="86"/>
  <c r="BA16" i="86"/>
  <c r="E34" i="86"/>
  <c r="BA14" i="86"/>
  <c r="BA9" i="86"/>
  <c r="BA22" i="86"/>
  <c r="BA10" i="86"/>
  <c r="E25" i="86"/>
  <c r="BA6" i="86"/>
  <c r="BA5" i="86"/>
  <c r="BA12" i="86"/>
  <c r="BA8" i="86"/>
  <c r="BA11" i="86"/>
  <c r="Z23" i="86"/>
  <c r="BA17" i="86"/>
  <c r="H90" i="67"/>
  <c r="H78" i="67"/>
  <c r="AA12" i="85"/>
  <c r="F13" i="85"/>
  <c r="F23" i="85"/>
  <c r="AZ12" i="85" s="1"/>
  <c r="AH12" i="86"/>
  <c r="M13" i="86"/>
  <c r="M23" i="86"/>
  <c r="BI12" i="86" s="1"/>
  <c r="I35" i="86"/>
  <c r="AD24" i="86"/>
  <c r="BE24" i="86"/>
  <c r="G22" i="86"/>
  <c r="AB17" i="86"/>
  <c r="AC17" i="86"/>
  <c r="G23" i="86"/>
  <c r="BC17" i="86" s="1"/>
  <c r="AS26" i="86"/>
  <c r="T37" i="86"/>
  <c r="AN33" i="86"/>
  <c r="AF12" i="69"/>
  <c r="K23" i="69"/>
  <c r="BB12" i="69" s="1"/>
  <c r="K13" i="69"/>
  <c r="AD12" i="69"/>
  <c r="G22" i="69"/>
  <c r="G23" i="69"/>
  <c r="AX21" i="69" s="1"/>
  <c r="Z21" i="69"/>
  <c r="BN22" i="85"/>
  <c r="AQ22" i="85"/>
  <c r="AT22" i="85"/>
  <c r="BD12" i="85"/>
  <c r="AE12" i="85"/>
  <c r="AF12" i="85"/>
  <c r="J23" i="85"/>
  <c r="BD24" i="85" s="1"/>
  <c r="J13" i="85"/>
  <c r="O23" i="69"/>
  <c r="BF12" i="69" s="1"/>
  <c r="AL8" i="69"/>
  <c r="I22" i="69"/>
  <c r="AB21" i="69"/>
  <c r="AC21" i="69"/>
  <c r="N35" i="86"/>
  <c r="AM24" i="86"/>
  <c r="BJ24" i="86"/>
  <c r="I33" i="69"/>
  <c r="AB24" i="69"/>
  <c r="H104" i="67"/>
  <c r="H116" i="67"/>
  <c r="H60" i="67"/>
  <c r="H47" i="67"/>
  <c r="AQ22" i="69"/>
  <c r="H160" i="87"/>
  <c r="AC160" i="87" s="1"/>
  <c r="H165" i="87"/>
  <c r="H162" i="87"/>
  <c r="AC162" i="87" s="1"/>
  <c r="AC158" i="87"/>
  <c r="X164" i="87"/>
  <c r="AC132" i="87"/>
  <c r="AD132" i="87"/>
  <c r="AE114" i="87"/>
  <c r="AD114" i="87"/>
  <c r="BB47" i="87"/>
  <c r="R49" i="87"/>
  <c r="BB49" i="87" s="1"/>
  <c r="AE88" i="87"/>
  <c r="J89" i="87"/>
  <c r="AJ56" i="87"/>
  <c r="AC164" i="87"/>
  <c r="AD164" i="87"/>
  <c r="AL142" i="87"/>
  <c r="Y42" i="87"/>
  <c r="U146" i="87"/>
  <c r="BE146" i="87" s="1"/>
  <c r="U150" i="87"/>
  <c r="BE150" i="87" s="1"/>
  <c r="U142" i="87"/>
  <c r="U144" i="87"/>
  <c r="BE144" i="87" s="1"/>
  <c r="BE135" i="87"/>
  <c r="U137" i="87"/>
  <c r="AL59" i="87"/>
  <c r="BB59" i="87"/>
  <c r="AK102" i="87"/>
  <c r="AL102" i="87"/>
  <c r="AI135" i="87"/>
  <c r="AI132" i="87"/>
  <c r="AH132" i="87"/>
  <c r="AD24" i="87"/>
  <c r="AE24" i="87"/>
  <c r="X12" i="87"/>
  <c r="AB45" i="87"/>
  <c r="BC29" i="87"/>
  <c r="AF164" i="87"/>
  <c r="BC42" i="87"/>
  <c r="AE60" i="87"/>
  <c r="AC29" i="87"/>
  <c r="P49" i="87"/>
  <c r="AK47" i="87"/>
  <c r="Z130" i="87"/>
  <c r="L77" i="87"/>
  <c r="L79" i="87" s="1"/>
  <c r="L86" i="87"/>
  <c r="L84" i="87"/>
  <c r="L82" i="87"/>
  <c r="L90" i="87"/>
  <c r="AB164" i="87"/>
  <c r="BE100" i="87"/>
  <c r="AG102" i="87"/>
  <c r="AF102" i="87"/>
  <c r="X70" i="87"/>
  <c r="Y54" i="87"/>
  <c r="U176" i="87"/>
  <c r="U172" i="87"/>
  <c r="U167" i="87"/>
  <c r="U169" i="87" s="1"/>
  <c r="U174" i="87"/>
  <c r="U180" i="87"/>
  <c r="AJ162" i="87"/>
  <c r="AS15" i="87"/>
  <c r="AB149" i="87"/>
  <c r="O109" i="87"/>
  <c r="AJ109" i="87" s="1"/>
  <c r="AJ107" i="87"/>
  <c r="AJ146" i="87"/>
  <c r="AA21" i="85"/>
  <c r="F22" i="85"/>
  <c r="J33" i="85"/>
  <c r="AE24" i="85"/>
  <c r="AF24" i="85"/>
  <c r="H40" i="67"/>
  <c r="H52" i="67"/>
  <c r="H86" i="67"/>
  <c r="H98" i="67"/>
  <c r="M35" i="86"/>
  <c r="AK24" i="86"/>
  <c r="AJ24" i="86"/>
  <c r="AI24" i="86"/>
  <c r="AL24" i="86"/>
  <c r="AH24" i="86"/>
  <c r="AB24" i="86"/>
  <c r="G35" i="86"/>
  <c r="BD21" i="85"/>
  <c r="AE21" i="85"/>
  <c r="AF21" i="85"/>
  <c r="J22" i="85"/>
  <c r="AF24" i="69"/>
  <c r="AH24" i="69"/>
  <c r="AJ24" i="69"/>
  <c r="AG24" i="69"/>
  <c r="AI24" i="69"/>
  <c r="M33" i="69"/>
  <c r="BB60" i="87"/>
  <c r="H33" i="69"/>
  <c r="AA24" i="69"/>
  <c r="AY24" i="69"/>
  <c r="BC24" i="69" s="1"/>
  <c r="AR21" i="86"/>
  <c r="AU21" i="86"/>
  <c r="S22" i="86"/>
  <c r="N37" i="86"/>
  <c r="AM26" i="86"/>
  <c r="H41" i="67"/>
  <c r="H29" i="67"/>
  <c r="M33" i="85"/>
  <c r="AM24" i="85"/>
  <c r="AL24" i="85"/>
  <c r="BG24" i="85"/>
  <c r="AV22" i="86"/>
  <c r="AS22" i="86"/>
  <c r="AC24" i="69"/>
  <c r="N32" i="85"/>
  <c r="BH17" i="85"/>
  <c r="BK17" i="85" s="1"/>
  <c r="N25" i="85"/>
  <c r="BH10" i="85"/>
  <c r="BK10" i="85" s="1"/>
  <c r="BH7" i="85"/>
  <c r="BK7" i="85" s="1"/>
  <c r="BH14" i="85"/>
  <c r="BK14" i="85" s="1"/>
  <c r="BH22" i="85"/>
  <c r="BK22" i="85" s="1"/>
  <c r="BH15" i="85"/>
  <c r="BK15" i="85" s="1"/>
  <c r="BH11" i="85"/>
  <c r="BK11" i="85" s="1"/>
  <c r="BH5" i="85"/>
  <c r="BK5" i="85" s="1"/>
  <c r="AM23" i="85"/>
  <c r="BH20" i="85"/>
  <c r="BK20" i="85" s="1"/>
  <c r="BH16" i="85"/>
  <c r="BK16" i="85" s="1"/>
  <c r="BH6" i="85"/>
  <c r="BK6" i="85" s="1"/>
  <c r="BH26" i="85"/>
  <c r="BK26" i="85" s="1"/>
  <c r="N27" i="85"/>
  <c r="BH8" i="85"/>
  <c r="BK8" i="85" s="1"/>
  <c r="BH24" i="85"/>
  <c r="BK24" i="85" s="1"/>
  <c r="BH21" i="85"/>
  <c r="BK21" i="85" s="1"/>
  <c r="BH19" i="85"/>
  <c r="BK19" i="85" s="1"/>
  <c r="BH23" i="85"/>
  <c r="BK23" i="85" s="1"/>
  <c r="BH9" i="85"/>
  <c r="BK9" i="85" s="1"/>
  <c r="BH18" i="85"/>
  <c r="BK18" i="85" s="1"/>
  <c r="AQ17" i="69"/>
  <c r="L162" i="87"/>
  <c r="AG162" i="87" s="1"/>
  <c r="L165" i="87"/>
  <c r="L160" i="87"/>
  <c r="AG160" i="87" s="1"/>
  <c r="AG158" i="87"/>
  <c r="BB42" i="87"/>
  <c r="X150" i="87"/>
  <c r="AN143" i="87"/>
  <c r="AN145" i="87"/>
  <c r="AN134" i="87"/>
  <c r="AN147" i="87"/>
  <c r="AN133" i="87"/>
  <c r="AN138" i="87"/>
  <c r="AN136" i="87"/>
  <c r="AN125" i="87"/>
  <c r="AN150" i="87"/>
  <c r="AN127" i="87"/>
  <c r="AN128" i="87"/>
  <c r="AN131" i="87"/>
  <c r="AN124" i="87"/>
  <c r="AN140" i="87"/>
  <c r="AN129" i="87"/>
  <c r="AJ42" i="87"/>
  <c r="AI42" i="87"/>
  <c r="D179" i="87"/>
  <c r="Y179" i="87" s="1"/>
  <c r="O49" i="87"/>
  <c r="AJ47" i="87"/>
  <c r="AG137" i="87"/>
  <c r="L139" i="87"/>
  <c r="AG139" i="87" s="1"/>
  <c r="AL150" i="87"/>
  <c r="AE56" i="87"/>
  <c r="BE132" i="87"/>
  <c r="BF132" i="87"/>
  <c r="V112" i="87"/>
  <c r="BF112" i="87" s="1"/>
  <c r="BF105" i="87"/>
  <c r="V107" i="87"/>
  <c r="T56" i="87"/>
  <c r="T52" i="87"/>
  <c r="T60" i="87"/>
  <c r="T47" i="87"/>
  <c r="BD45" i="87"/>
  <c r="T54" i="87"/>
  <c r="BE45" i="87"/>
  <c r="AZ117" i="87"/>
  <c r="AZ98" i="87"/>
  <c r="AJ120" i="87"/>
  <c r="AZ97" i="87"/>
  <c r="AZ110" i="87"/>
  <c r="AZ94" i="87"/>
  <c r="AZ99" i="87"/>
  <c r="AZ119" i="87"/>
  <c r="AZ113" i="87"/>
  <c r="AZ106" i="87"/>
  <c r="AZ120" i="87"/>
  <c r="AZ95" i="87"/>
  <c r="AZ115" i="87"/>
  <c r="AZ111" i="87"/>
  <c r="AZ108" i="87"/>
  <c r="AZ118" i="87"/>
  <c r="AZ101" i="87"/>
  <c r="AZ103" i="87"/>
  <c r="AZ104" i="87"/>
  <c r="G24" i="87"/>
  <c r="AB24" i="87" s="1"/>
  <c r="AB15" i="87"/>
  <c r="G26" i="87"/>
  <c r="AB26" i="87" s="1"/>
  <c r="G17" i="87"/>
  <c r="G30" i="87"/>
  <c r="G22" i="87"/>
  <c r="AY140" i="87"/>
  <c r="AY136" i="87"/>
  <c r="AY127" i="87"/>
  <c r="AY147" i="87"/>
  <c r="AY128" i="87"/>
  <c r="AY149" i="87"/>
  <c r="AY143" i="87"/>
  <c r="AY125" i="87"/>
  <c r="AY124" i="87"/>
  <c r="AY133" i="87"/>
  <c r="AI150" i="87"/>
  <c r="AY129" i="87"/>
  <c r="AY145" i="87"/>
  <c r="AY134" i="87"/>
  <c r="AY150" i="87"/>
  <c r="AY138" i="87"/>
  <c r="AY135" i="87"/>
  <c r="AY131" i="87"/>
  <c r="AY148" i="87"/>
  <c r="BE12" i="87"/>
  <c r="BD12" i="87"/>
  <c r="X10" i="87"/>
  <c r="AR52" i="87"/>
  <c r="AC52" i="87"/>
  <c r="C162" i="87"/>
  <c r="X162" i="87" s="1"/>
  <c r="C165" i="87"/>
  <c r="X158" i="87"/>
  <c r="C160" i="87"/>
  <c r="Y158" i="87"/>
  <c r="AD149" i="87"/>
  <c r="AT149" i="87"/>
  <c r="AE149" i="87"/>
  <c r="BC40" i="87"/>
  <c r="BD40" i="87"/>
  <c r="AB12" i="87"/>
  <c r="AC12" i="87"/>
  <c r="H84" i="87"/>
  <c r="AC84" i="87" s="1"/>
  <c r="C89" i="87"/>
  <c r="X89" i="87" s="1"/>
  <c r="X88" i="87"/>
  <c r="I89" i="87"/>
  <c r="AD89" i="87" s="1"/>
  <c r="AD81" i="87"/>
  <c r="U86" i="87"/>
  <c r="U90" i="87"/>
  <c r="U84" i="87"/>
  <c r="U77" i="87"/>
  <c r="U79" i="87" s="1"/>
  <c r="U82" i="87"/>
  <c r="AK171" i="87"/>
  <c r="D146" i="87"/>
  <c r="Y146" i="87" s="1"/>
  <c r="D142" i="87"/>
  <c r="D137" i="87"/>
  <c r="D144" i="87"/>
  <c r="Y144" i="87" s="1"/>
  <c r="Y135" i="87"/>
  <c r="D150" i="87"/>
  <c r="AO149" i="87" s="1"/>
  <c r="Y112" i="87"/>
  <c r="AO112" i="87"/>
  <c r="Z112" i="87"/>
  <c r="S19" i="87"/>
  <c r="BC19" i="87" s="1"/>
  <c r="BC17" i="87"/>
  <c r="AC137" i="87"/>
  <c r="H139" i="87"/>
  <c r="V77" i="87"/>
  <c r="V79" i="87" s="1"/>
  <c r="BF17" i="87"/>
  <c r="V19" i="87"/>
  <c r="BF19" i="87" s="1"/>
  <c r="L109" i="87"/>
  <c r="AH107" i="87"/>
  <c r="AG107" i="87"/>
  <c r="X68" i="87"/>
  <c r="I70" i="87"/>
  <c r="AD70" i="87" s="1"/>
  <c r="I72" i="87"/>
  <c r="I75" i="87"/>
  <c r="AD68" i="87"/>
  <c r="S77" i="87"/>
  <c r="S79" i="87" s="1"/>
  <c r="S90" i="87"/>
  <c r="S82" i="87"/>
  <c r="S86" i="87"/>
  <c r="S84" i="87"/>
  <c r="AC59" i="87"/>
  <c r="AR59" i="87"/>
  <c r="AB59" i="87"/>
  <c r="AO48" i="87"/>
  <c r="AO55" i="87"/>
  <c r="AO35" i="87"/>
  <c r="AO46" i="87"/>
  <c r="AO45" i="87"/>
  <c r="AO57" i="87"/>
  <c r="AO43" i="87"/>
  <c r="AO34" i="87"/>
  <c r="AO53" i="87"/>
  <c r="Y60" i="87"/>
  <c r="AO60" i="87"/>
  <c r="AO50" i="87"/>
  <c r="AO44" i="87"/>
  <c r="AO41" i="87"/>
  <c r="AO38" i="87"/>
  <c r="AO39" i="87"/>
  <c r="AO37" i="87"/>
  <c r="Z60" i="87"/>
  <c r="AA22" i="87"/>
  <c r="AQ22" i="87"/>
  <c r="AL56" i="87"/>
  <c r="AD17" i="87"/>
  <c r="Y74" i="87"/>
  <c r="AJ116" i="87"/>
  <c r="U13" i="85"/>
  <c r="AT12" i="85"/>
  <c r="BN12" i="85"/>
  <c r="AQ12" i="85"/>
  <c r="AN26" i="85"/>
  <c r="AO26" i="85"/>
  <c r="O35" i="85"/>
  <c r="BI26" i="85"/>
  <c r="AE24" i="86"/>
  <c r="BF24" i="86"/>
  <c r="J35" i="86"/>
  <c r="AJ8" i="69"/>
  <c r="AI8" i="69"/>
  <c r="AG8" i="69"/>
  <c r="M13" i="69"/>
  <c r="M23" i="69"/>
  <c r="BD26" i="69" s="1"/>
  <c r="AH8" i="69"/>
  <c r="AF8" i="69"/>
  <c r="BD8" i="69"/>
  <c r="F37" i="86"/>
  <c r="AA26" i="86"/>
  <c r="AS12" i="85"/>
  <c r="P13" i="85"/>
  <c r="AO12" i="85"/>
  <c r="BJ12" i="85"/>
  <c r="AK26" i="69"/>
  <c r="N35" i="69"/>
  <c r="BE26" i="69"/>
  <c r="O22" i="69"/>
  <c r="AL21" i="69"/>
  <c r="AO26" i="86"/>
  <c r="P37" i="86"/>
  <c r="BL26" i="86"/>
  <c r="BM26" i="86" s="1"/>
  <c r="AC8" i="85"/>
  <c r="AD8" i="85"/>
  <c r="H23" i="85"/>
  <c r="BB13" i="85" s="1"/>
  <c r="L11" i="41"/>
  <c r="L23" i="41" s="1"/>
  <c r="R23" i="41"/>
  <c r="H63" i="67"/>
  <c r="T35" i="69"/>
  <c r="AL31" i="69"/>
  <c r="BJ26" i="69"/>
  <c r="AQ26" i="69"/>
  <c r="H79" i="67"/>
  <c r="BH13" i="85"/>
  <c r="BK13" i="85" s="1"/>
  <c r="BP22" i="86" l="1"/>
  <c r="AW17" i="69"/>
  <c r="AZ142" i="87"/>
  <c r="AC150" i="87"/>
  <c r="BE24" i="85"/>
  <c r="BB17" i="87"/>
  <c r="AY25" i="85"/>
  <c r="Z25" i="85"/>
  <c r="E34" i="85"/>
  <c r="BP26" i="86"/>
  <c r="AZ21" i="85"/>
  <c r="AN51" i="87"/>
  <c r="AN44" i="87"/>
  <c r="AN41" i="87"/>
  <c r="AN45" i="87"/>
  <c r="AN50" i="87"/>
  <c r="AN37" i="87"/>
  <c r="AN60" i="87"/>
  <c r="AN43" i="87"/>
  <c r="AN48" i="87"/>
  <c r="AN46" i="87"/>
  <c r="AN38" i="87"/>
  <c r="AN34" i="87"/>
  <c r="AN39" i="87"/>
  <c r="AN55" i="87"/>
  <c r="AN53" i="87"/>
  <c r="AN58" i="87"/>
  <c r="AN35" i="87"/>
  <c r="AN57" i="87"/>
  <c r="X60" i="87"/>
  <c r="X137" i="87"/>
  <c r="C139" i="87"/>
  <c r="H90" i="87"/>
  <c r="AW24" i="69"/>
  <c r="AJ180" i="87"/>
  <c r="AQ149" i="87"/>
  <c r="AO135" i="87"/>
  <c r="AW15" i="87"/>
  <c r="AL60" i="87"/>
  <c r="X27" i="69"/>
  <c r="BE13" i="85"/>
  <c r="AL146" i="87"/>
  <c r="BC13" i="85"/>
  <c r="BF13" i="85" s="1"/>
  <c r="BC12" i="85"/>
  <c r="BF12" i="85" s="1"/>
  <c r="BC114" i="87"/>
  <c r="AZ8" i="69"/>
  <c r="BC8" i="69" s="1"/>
  <c r="BB8" i="85"/>
  <c r="AX99" i="87"/>
  <c r="AX95" i="87"/>
  <c r="AX103" i="87"/>
  <c r="AX108" i="87"/>
  <c r="AX97" i="87"/>
  <c r="AX113" i="87"/>
  <c r="AX106" i="87"/>
  <c r="AX110" i="87"/>
  <c r="AX94" i="87"/>
  <c r="AX118" i="87"/>
  <c r="AX115" i="87"/>
  <c r="AI120" i="87"/>
  <c r="AX104" i="87"/>
  <c r="AH120" i="87"/>
  <c r="AX98" i="87"/>
  <c r="AX111" i="87"/>
  <c r="AX119" i="87"/>
  <c r="AX120" i="87"/>
  <c r="AX117" i="87"/>
  <c r="AX101" i="87"/>
  <c r="AK160" i="87"/>
  <c r="K19" i="87"/>
  <c r="AF17" i="87"/>
  <c r="AV59" i="87"/>
  <c r="AZ17" i="69"/>
  <c r="BC17" i="69" s="1"/>
  <c r="AT27" i="87"/>
  <c r="AT28" i="87"/>
  <c r="AT25" i="87"/>
  <c r="AT13" i="87"/>
  <c r="AT30" i="87"/>
  <c r="AT23" i="87"/>
  <c r="AT18" i="87"/>
  <c r="AT9" i="87"/>
  <c r="AT5" i="87"/>
  <c r="AT8" i="87"/>
  <c r="AT16" i="87"/>
  <c r="AT112" i="87"/>
  <c r="AT15" i="87"/>
  <c r="AT7" i="87"/>
  <c r="AT21" i="87"/>
  <c r="AT20" i="87"/>
  <c r="AT4" i="87"/>
  <c r="AT11" i="87"/>
  <c r="AT52" i="87"/>
  <c r="AT14" i="87"/>
  <c r="P139" i="87"/>
  <c r="AL139" i="87" s="1"/>
  <c r="AL137" i="87"/>
  <c r="F180" i="87"/>
  <c r="AB180" i="87" s="1"/>
  <c r="F174" i="87"/>
  <c r="AB174" i="87" s="1"/>
  <c r="F167" i="87"/>
  <c r="F176" i="87"/>
  <c r="AB176" i="87" s="1"/>
  <c r="AB165" i="87"/>
  <c r="F172" i="87"/>
  <c r="AB172" i="87" s="1"/>
  <c r="AO15" i="87"/>
  <c r="AO28" i="87"/>
  <c r="AO27" i="87"/>
  <c r="AO5" i="87"/>
  <c r="AO25" i="87"/>
  <c r="AO16" i="87"/>
  <c r="AO23" i="87"/>
  <c r="AO20" i="87"/>
  <c r="AO13" i="87"/>
  <c r="AO30" i="87"/>
  <c r="AO21" i="87"/>
  <c r="AO11" i="87"/>
  <c r="AO9" i="87"/>
  <c r="AO18" i="87"/>
  <c r="AO7" i="87"/>
  <c r="AO4" i="87"/>
  <c r="AO8" i="87"/>
  <c r="AO14" i="87"/>
  <c r="BC22" i="85"/>
  <c r="BF22" i="85" s="1"/>
  <c r="BE20" i="85"/>
  <c r="AG23" i="85"/>
  <c r="BE11" i="85"/>
  <c r="BE23" i="85"/>
  <c r="K27" i="85"/>
  <c r="K36" i="85" s="1"/>
  <c r="BE19" i="85"/>
  <c r="BE12" i="85"/>
  <c r="K25" i="85"/>
  <c r="BE9" i="85"/>
  <c r="K32" i="85"/>
  <c r="BE18" i="85"/>
  <c r="BE6" i="85"/>
  <c r="BE14" i="85"/>
  <c r="BE10" i="85"/>
  <c r="BE5" i="85"/>
  <c r="BE21" i="85"/>
  <c r="BE15" i="85"/>
  <c r="BE7" i="85"/>
  <c r="BE16" i="85"/>
  <c r="AI17" i="87"/>
  <c r="N19" i="87"/>
  <c r="AI19" i="87" s="1"/>
  <c r="BG24" i="86"/>
  <c r="BJ26" i="86"/>
  <c r="AZ21" i="69"/>
  <c r="BC21" i="69" s="1"/>
  <c r="AC90" i="87"/>
  <c r="AU135" i="87"/>
  <c r="AR8" i="86"/>
  <c r="AU8" i="86"/>
  <c r="H77" i="87"/>
  <c r="H79" i="87" s="1"/>
  <c r="H82" i="87"/>
  <c r="AC82" i="87" s="1"/>
  <c r="AH179" i="87"/>
  <c r="R109" i="87"/>
  <c r="BB109" i="87" s="1"/>
  <c r="BB107" i="87"/>
  <c r="J167" i="87"/>
  <c r="J169" i="87" s="1"/>
  <c r="J172" i="87"/>
  <c r="Y52" i="87"/>
  <c r="AO52" i="87"/>
  <c r="B167" i="87"/>
  <c r="B169" i="87" s="1"/>
  <c r="B172" i="87"/>
  <c r="BF21" i="69"/>
  <c r="B174" i="87"/>
  <c r="AU22" i="87"/>
  <c r="AE22" i="87"/>
  <c r="D172" i="87"/>
  <c r="D167" i="87"/>
  <c r="D169" i="87" s="1"/>
  <c r="D49" i="87"/>
  <c r="Y47" i="87"/>
  <c r="AC26" i="87"/>
  <c r="AC89" i="87"/>
  <c r="AV25" i="69"/>
  <c r="E34" i="69"/>
  <c r="X25" i="69"/>
  <c r="BC19" i="85"/>
  <c r="BF19" i="85" s="1"/>
  <c r="L19" i="85" s="1"/>
  <c r="AG19" i="85" s="1"/>
  <c r="BC14" i="85"/>
  <c r="BF14" i="85" s="1"/>
  <c r="L14" i="85" s="1"/>
  <c r="AG14" i="85" s="1"/>
  <c r="BC16" i="85"/>
  <c r="BF16" i="85" s="1"/>
  <c r="L16" i="85" s="1"/>
  <c r="BC18" i="85"/>
  <c r="BF18" i="85" s="1"/>
  <c r="L18" i="85" s="1"/>
  <c r="AG18" i="85" s="1"/>
  <c r="I32" i="85"/>
  <c r="BC10" i="85"/>
  <c r="BF10" i="85" s="1"/>
  <c r="L10" i="85" s="1"/>
  <c r="AG10" i="85" s="1"/>
  <c r="BC17" i="85"/>
  <c r="BF17" i="85" s="1"/>
  <c r="BC9" i="85"/>
  <c r="BF9" i="85" s="1"/>
  <c r="L9" i="85" s="1"/>
  <c r="BC5" i="85"/>
  <c r="BF5" i="85" s="1"/>
  <c r="L5" i="85" s="1"/>
  <c r="BC15" i="85"/>
  <c r="BF15" i="85" s="1"/>
  <c r="L15" i="85" s="1"/>
  <c r="AG15" i="85" s="1"/>
  <c r="I27" i="85"/>
  <c r="I36" i="85" s="1"/>
  <c r="BC23" i="85"/>
  <c r="BC6" i="85"/>
  <c r="BF6" i="85" s="1"/>
  <c r="L6" i="85" s="1"/>
  <c r="AG6" i="85" s="1"/>
  <c r="I25" i="85"/>
  <c r="BC20" i="85"/>
  <c r="BF20" i="85" s="1"/>
  <c r="L20" i="85" s="1"/>
  <c r="BC11" i="85"/>
  <c r="BF11" i="85" s="1"/>
  <c r="L11" i="85" s="1"/>
  <c r="AG11" i="85" s="1"/>
  <c r="BC21" i="85"/>
  <c r="BF21" i="85" s="1"/>
  <c r="BC7" i="85"/>
  <c r="BF7" i="85" s="1"/>
  <c r="L7" i="85" s="1"/>
  <c r="AG7" i="85" s="1"/>
  <c r="Z70" i="87"/>
  <c r="AV25" i="87"/>
  <c r="AV16" i="87"/>
  <c r="AV14" i="87"/>
  <c r="AF30" i="87"/>
  <c r="AV13" i="87"/>
  <c r="AV4" i="87"/>
  <c r="AV5" i="87"/>
  <c r="AV8" i="87"/>
  <c r="AV7" i="87"/>
  <c r="AV23" i="87"/>
  <c r="AV27" i="87"/>
  <c r="AV9" i="87"/>
  <c r="AV30" i="87"/>
  <c r="AV21" i="87"/>
  <c r="AV28" i="87"/>
  <c r="AV29" i="87"/>
  <c r="AV20" i="87"/>
  <c r="AV15" i="87"/>
  <c r="AV11" i="87"/>
  <c r="AV18" i="87"/>
  <c r="BG26" i="69"/>
  <c r="BH26" i="69" s="1"/>
  <c r="AD72" i="87"/>
  <c r="BI24" i="86"/>
  <c r="BG21" i="69"/>
  <c r="BH21" i="69" s="1"/>
  <c r="AP60" i="87"/>
  <c r="AP37" i="87"/>
  <c r="AP41" i="87"/>
  <c r="AP46" i="87"/>
  <c r="AP43" i="87"/>
  <c r="AP55" i="87"/>
  <c r="AP53" i="87"/>
  <c r="AP50" i="87"/>
  <c r="AP34" i="87"/>
  <c r="AP57" i="87"/>
  <c r="AP44" i="87"/>
  <c r="AP48" i="87"/>
  <c r="AP39" i="87"/>
  <c r="AP51" i="87"/>
  <c r="AP38" i="87"/>
  <c r="AP35" i="87"/>
  <c r="AP58" i="87"/>
  <c r="AE17" i="87"/>
  <c r="J19" i="87"/>
  <c r="AT142" i="87"/>
  <c r="H77" i="67"/>
  <c r="H89" i="67"/>
  <c r="Z72" i="87"/>
  <c r="Z17" i="87"/>
  <c r="BC24" i="86"/>
  <c r="BF8" i="69"/>
  <c r="AI144" i="87"/>
  <c r="AA160" i="87"/>
  <c r="AJ174" i="87"/>
  <c r="AU4" i="87"/>
  <c r="AU16" i="87"/>
  <c r="AU23" i="87"/>
  <c r="AU11" i="87"/>
  <c r="AU5" i="87"/>
  <c r="AU13" i="87"/>
  <c r="AU27" i="87"/>
  <c r="AE30" i="87"/>
  <c r="AU25" i="87"/>
  <c r="AU30" i="87"/>
  <c r="AU20" i="87"/>
  <c r="AU8" i="87"/>
  <c r="AU7" i="87"/>
  <c r="AU28" i="87"/>
  <c r="AU18" i="87"/>
  <c r="AU52" i="87"/>
  <c r="AU9" i="87"/>
  <c r="AU112" i="87"/>
  <c r="AU21" i="87"/>
  <c r="AU14" i="87"/>
  <c r="AZ58" i="87"/>
  <c r="AZ53" i="87"/>
  <c r="AZ35" i="87"/>
  <c r="AZ34" i="87"/>
  <c r="AZ55" i="87"/>
  <c r="AZ50" i="87"/>
  <c r="AZ37" i="87"/>
  <c r="AZ45" i="87"/>
  <c r="AZ39" i="87"/>
  <c r="AZ51" i="87"/>
  <c r="AZ44" i="87"/>
  <c r="AZ38" i="87"/>
  <c r="AZ46" i="87"/>
  <c r="AZ41" i="87"/>
  <c r="AZ57" i="87"/>
  <c r="AZ60" i="87"/>
  <c r="AZ43" i="87"/>
  <c r="AZ48" i="87"/>
  <c r="AO22" i="87"/>
  <c r="AX105" i="87"/>
  <c r="BC24" i="85"/>
  <c r="Z30" i="87"/>
  <c r="E84" i="87"/>
  <c r="E86" i="87"/>
  <c r="E77" i="87"/>
  <c r="E79" i="87" s="1"/>
  <c r="E82" i="87"/>
  <c r="Z82" i="87" s="1"/>
  <c r="E90" i="87"/>
  <c r="Z90" i="87" s="1"/>
  <c r="AC13" i="86"/>
  <c r="B176" i="87"/>
  <c r="AF22" i="87"/>
  <c r="AV22" i="87"/>
  <c r="AR22" i="87"/>
  <c r="AB22" i="87"/>
  <c r="V167" i="87"/>
  <c r="V169" i="87" s="1"/>
  <c r="BF107" i="87"/>
  <c r="V109" i="87"/>
  <c r="BF109" i="87" s="1"/>
  <c r="BD22" i="85"/>
  <c r="AE22" i="85"/>
  <c r="AF22" i="85"/>
  <c r="AE89" i="87"/>
  <c r="H174" i="87"/>
  <c r="AC174" i="87" s="1"/>
  <c r="H180" i="87"/>
  <c r="AC180" i="87" s="1"/>
  <c r="H172" i="87"/>
  <c r="AC172" i="87" s="1"/>
  <c r="H167" i="87"/>
  <c r="AC165" i="87"/>
  <c r="H176" i="87"/>
  <c r="AC176" i="87" s="1"/>
  <c r="AZ22" i="69"/>
  <c r="BC22" i="69" s="1"/>
  <c r="AB22" i="69"/>
  <c r="BD17" i="87"/>
  <c r="T19" i="87"/>
  <c r="BE17" i="87"/>
  <c r="AK150" i="87"/>
  <c r="AR26" i="86"/>
  <c r="S37" i="86"/>
  <c r="AO31" i="85"/>
  <c r="AN32" i="85"/>
  <c r="AX142" i="87"/>
  <c r="AH142" i="87"/>
  <c r="AI142" i="87"/>
  <c r="AE144" i="87"/>
  <c r="AF144" i="87"/>
  <c r="AW13" i="69"/>
  <c r="Y13" i="69"/>
  <c r="Z13" i="69"/>
  <c r="BA5" i="85"/>
  <c r="BA20" i="85"/>
  <c r="BA8" i="85"/>
  <c r="G32" i="85"/>
  <c r="G25" i="85"/>
  <c r="BA10" i="85"/>
  <c r="BA23" i="85"/>
  <c r="BA6" i="85"/>
  <c r="G27" i="85"/>
  <c r="BA18" i="85"/>
  <c r="BA16" i="85"/>
  <c r="BA19" i="85"/>
  <c r="BA9" i="85"/>
  <c r="BA11" i="85"/>
  <c r="BA14" i="85"/>
  <c r="BA7" i="85"/>
  <c r="AB23" i="85"/>
  <c r="BA15" i="85"/>
  <c r="E176" i="87"/>
  <c r="E172" i="87"/>
  <c r="Z165" i="87"/>
  <c r="E167" i="87"/>
  <c r="E174" i="87"/>
  <c r="AA165" i="87"/>
  <c r="E180" i="87"/>
  <c r="AW52" i="87"/>
  <c r="AG52" i="87"/>
  <c r="AK26" i="87"/>
  <c r="AL26" i="87"/>
  <c r="AQ13" i="69"/>
  <c r="BJ13" i="69"/>
  <c r="BR8" i="86"/>
  <c r="BQ8" i="86"/>
  <c r="AC13" i="69"/>
  <c r="AZ13" i="69"/>
  <c r="BC13" i="69" s="1"/>
  <c r="AB13" i="69"/>
  <c r="G139" i="87"/>
  <c r="AB137" i="87"/>
  <c r="BM18" i="85"/>
  <c r="BM23" i="85"/>
  <c r="BM11" i="85"/>
  <c r="BM10" i="85"/>
  <c r="T27" i="85"/>
  <c r="AS23" i="85"/>
  <c r="BM6" i="85"/>
  <c r="BM19" i="85"/>
  <c r="BM20" i="85"/>
  <c r="BM16" i="85"/>
  <c r="BM22" i="85"/>
  <c r="BM17" i="85"/>
  <c r="BM9" i="85"/>
  <c r="BM5" i="85"/>
  <c r="BM21" i="85"/>
  <c r="BM14" i="85"/>
  <c r="S28" i="86"/>
  <c r="T32" i="85"/>
  <c r="BM12" i="85"/>
  <c r="BM15" i="85"/>
  <c r="BM7" i="85"/>
  <c r="BM26" i="85"/>
  <c r="BD22" i="86"/>
  <c r="AC22" i="86"/>
  <c r="BI23" i="85"/>
  <c r="BI21" i="85"/>
  <c r="AN23" i="85"/>
  <c r="BI15" i="85"/>
  <c r="O25" i="85"/>
  <c r="BI12" i="85"/>
  <c r="BI5" i="85"/>
  <c r="O32" i="85"/>
  <c r="BI10" i="85"/>
  <c r="O27" i="85"/>
  <c r="BI16" i="85"/>
  <c r="BI18" i="85"/>
  <c r="BI24" i="85"/>
  <c r="BI9" i="85"/>
  <c r="BI6" i="85"/>
  <c r="BI7" i="85"/>
  <c r="BI11" i="85"/>
  <c r="BI14" i="85"/>
  <c r="BI19" i="85"/>
  <c r="BI20" i="85"/>
  <c r="S139" i="87"/>
  <c r="BC139" i="87" s="1"/>
  <c r="BC137" i="87"/>
  <c r="AY57" i="87"/>
  <c r="AY43" i="87"/>
  <c r="AY35" i="87"/>
  <c r="AY51" i="87"/>
  <c r="AY55" i="87"/>
  <c r="AY38" i="87"/>
  <c r="AY44" i="87"/>
  <c r="AY39" i="87"/>
  <c r="AY34" i="87"/>
  <c r="AY59" i="87"/>
  <c r="AY41" i="87"/>
  <c r="AY50" i="87"/>
  <c r="AY46" i="87"/>
  <c r="AY60" i="87"/>
  <c r="AY48" i="87"/>
  <c r="AY58" i="87"/>
  <c r="AY37" i="87"/>
  <c r="AY53" i="87"/>
  <c r="AI60" i="87"/>
  <c r="AJ60" i="87"/>
  <c r="AT23" i="85"/>
  <c r="AM31" i="69"/>
  <c r="AL32" i="69"/>
  <c r="Y160" i="87"/>
  <c r="X160" i="87"/>
  <c r="AR7" i="87"/>
  <c r="AR25" i="87"/>
  <c r="AR30" i="87"/>
  <c r="AR16" i="87"/>
  <c r="AR11" i="87"/>
  <c r="AR5" i="87"/>
  <c r="AR27" i="87"/>
  <c r="AB30" i="87"/>
  <c r="AR14" i="87"/>
  <c r="AR9" i="87"/>
  <c r="AR4" i="87"/>
  <c r="AR18" i="87"/>
  <c r="AR23" i="87"/>
  <c r="AR20" i="87"/>
  <c r="AR13" i="87"/>
  <c r="AR21" i="87"/>
  <c r="AR8" i="87"/>
  <c r="AR28" i="87"/>
  <c r="BH25" i="85"/>
  <c r="BK25" i="85" s="1"/>
  <c r="N34" i="85"/>
  <c r="AU22" i="86"/>
  <c r="AR22" i="86"/>
  <c r="BD24" i="69"/>
  <c r="AK49" i="87"/>
  <c r="E38" i="86"/>
  <c r="Z27" i="86"/>
  <c r="AJ150" i="87"/>
  <c r="AZ131" i="87"/>
  <c r="AZ138" i="87"/>
  <c r="AZ134" i="87"/>
  <c r="AZ147" i="87"/>
  <c r="AZ127" i="87"/>
  <c r="AZ140" i="87"/>
  <c r="AZ148" i="87"/>
  <c r="AZ136" i="87"/>
  <c r="AZ143" i="87"/>
  <c r="AZ141" i="87"/>
  <c r="AZ145" i="87"/>
  <c r="AZ133" i="87"/>
  <c r="AZ129" i="87"/>
  <c r="AZ150" i="87"/>
  <c r="AZ124" i="87"/>
  <c r="AZ125" i="87"/>
  <c r="AZ135" i="87"/>
  <c r="AZ128" i="87"/>
  <c r="BD26" i="87"/>
  <c r="BE26" i="87"/>
  <c r="BG15" i="85"/>
  <c r="BG11" i="85"/>
  <c r="BG9" i="85"/>
  <c r="BG16" i="85"/>
  <c r="BG5" i="85"/>
  <c r="M27" i="85"/>
  <c r="BG19" i="85"/>
  <c r="BG12" i="85"/>
  <c r="BG17" i="85"/>
  <c r="BG7" i="85"/>
  <c r="BG20" i="85"/>
  <c r="BG23" i="85"/>
  <c r="AL23" i="85"/>
  <c r="BG14" i="85"/>
  <c r="BG18" i="85"/>
  <c r="BG6" i="85"/>
  <c r="M25" i="85"/>
  <c r="AM25" i="85" s="1"/>
  <c r="M32" i="85"/>
  <c r="BG10" i="85"/>
  <c r="AN22" i="86"/>
  <c r="AO22" i="86"/>
  <c r="BK22" i="86"/>
  <c r="I27" i="86"/>
  <c r="BE8" i="86"/>
  <c r="BH8" i="86" s="1"/>
  <c r="BE14" i="86"/>
  <c r="BH14" i="86" s="1"/>
  <c r="L14" i="86" s="1"/>
  <c r="AG14" i="86" s="1"/>
  <c r="I34" i="86"/>
  <c r="BE6" i="86"/>
  <c r="BH6" i="86" s="1"/>
  <c r="L6" i="86" s="1"/>
  <c r="AG6" i="86" s="1"/>
  <c r="I25" i="86"/>
  <c r="BE16" i="86"/>
  <c r="BH16" i="86" s="1"/>
  <c r="L16" i="86" s="1"/>
  <c r="BE7" i="86"/>
  <c r="BH7" i="86" s="1"/>
  <c r="L7" i="86" s="1"/>
  <c r="AG7" i="86" s="1"/>
  <c r="BE20" i="86"/>
  <c r="BH20" i="86" s="1"/>
  <c r="L20" i="86" s="1"/>
  <c r="BE13" i="86"/>
  <c r="BH13" i="86" s="1"/>
  <c r="BE10" i="86"/>
  <c r="BH10" i="86" s="1"/>
  <c r="L10" i="86" s="1"/>
  <c r="AG10" i="86" s="1"/>
  <c r="BE21" i="86"/>
  <c r="BH21" i="86" s="1"/>
  <c r="BE9" i="86"/>
  <c r="BH9" i="86" s="1"/>
  <c r="L9" i="86" s="1"/>
  <c r="BE23" i="86"/>
  <c r="BE15" i="86"/>
  <c r="BH15" i="86" s="1"/>
  <c r="L15" i="86" s="1"/>
  <c r="AG15" i="86" s="1"/>
  <c r="BE19" i="86"/>
  <c r="BH19" i="86" s="1"/>
  <c r="L19" i="86" s="1"/>
  <c r="AG19" i="86" s="1"/>
  <c r="AD23" i="86"/>
  <c r="BE11" i="86"/>
  <c r="BH11" i="86" s="1"/>
  <c r="L11" i="86" s="1"/>
  <c r="AG11" i="86" s="1"/>
  <c r="BE18" i="86"/>
  <c r="BH18" i="86" s="1"/>
  <c r="L18" i="86" s="1"/>
  <c r="AG18" i="86" s="1"/>
  <c r="BE12" i="86"/>
  <c r="BH12" i="86" s="1"/>
  <c r="BE5" i="86"/>
  <c r="BH5" i="86" s="1"/>
  <c r="L5" i="86" s="1"/>
  <c r="AI146" i="87"/>
  <c r="BD21" i="69"/>
  <c r="AG56" i="87"/>
  <c r="AH56" i="87"/>
  <c r="AK22" i="87"/>
  <c r="AL22" i="87"/>
  <c r="S13" i="69"/>
  <c r="AP8" i="69"/>
  <c r="S23" i="69"/>
  <c r="BI26" i="69" s="1"/>
  <c r="BK13" i="86"/>
  <c r="AN13" i="86"/>
  <c r="AB144" i="87"/>
  <c r="AC144" i="87"/>
  <c r="L19" i="87"/>
  <c r="AG17" i="87"/>
  <c r="AH17" i="87"/>
  <c r="BE13" i="69"/>
  <c r="AK13" i="69"/>
  <c r="BM13" i="85"/>
  <c r="AS13" i="85"/>
  <c r="BD7" i="86"/>
  <c r="BD9" i="86"/>
  <c r="AC23" i="86"/>
  <c r="BD17" i="86"/>
  <c r="BD14" i="86"/>
  <c r="BD11" i="86"/>
  <c r="BD16" i="86"/>
  <c r="BD15" i="86"/>
  <c r="BD13" i="86"/>
  <c r="H25" i="86"/>
  <c r="BD5" i="86"/>
  <c r="BD8" i="86"/>
  <c r="H34" i="86"/>
  <c r="BD23" i="86"/>
  <c r="BH23" i="86" s="1"/>
  <c r="BD10" i="86"/>
  <c r="BD20" i="86"/>
  <c r="H27" i="86"/>
  <c r="BD19" i="86"/>
  <c r="BD18" i="86"/>
  <c r="BD6" i="86"/>
  <c r="BD12" i="86"/>
  <c r="K86" i="87"/>
  <c r="K82" i="87"/>
  <c r="K84" i="87"/>
  <c r="K90" i="87"/>
  <c r="K77" i="87"/>
  <c r="K79" i="87" s="1"/>
  <c r="AI180" i="87"/>
  <c r="AL112" i="87"/>
  <c r="Y82" i="87"/>
  <c r="AY52" i="87"/>
  <c r="AJ52" i="87"/>
  <c r="AI52" i="87"/>
  <c r="Q21" i="85"/>
  <c r="AP20" i="85"/>
  <c r="Y137" i="87"/>
  <c r="D139" i="87"/>
  <c r="G19" i="87"/>
  <c r="AB17" i="87"/>
  <c r="BD54" i="87"/>
  <c r="BE54" i="87"/>
  <c r="AG165" i="87"/>
  <c r="L167" i="87"/>
  <c r="L176" i="87"/>
  <c r="AH176" i="87" s="1"/>
  <c r="L172" i="87"/>
  <c r="L174" i="87"/>
  <c r="L180" i="87"/>
  <c r="U139" i="87"/>
  <c r="BF137" i="87"/>
  <c r="BE137" i="87"/>
  <c r="AD13" i="69"/>
  <c r="BB13" i="69"/>
  <c r="BC21" i="86"/>
  <c r="BC15" i="86"/>
  <c r="BC23" i="86"/>
  <c r="BC16" i="86"/>
  <c r="BC12" i="86"/>
  <c r="BC6" i="86"/>
  <c r="BC10" i="86"/>
  <c r="BC13" i="86"/>
  <c r="BC9" i="86"/>
  <c r="G27" i="86"/>
  <c r="BC18" i="86"/>
  <c r="BC8" i="86"/>
  <c r="BC14" i="86"/>
  <c r="BC19" i="86"/>
  <c r="G25" i="86"/>
  <c r="BC20" i="86"/>
  <c r="BC11" i="86"/>
  <c r="AB23" i="86"/>
  <c r="BC7" i="86"/>
  <c r="G34" i="86"/>
  <c r="BC5" i="86"/>
  <c r="BI20" i="86"/>
  <c r="BI9" i="86"/>
  <c r="BI16" i="86"/>
  <c r="M34" i="86"/>
  <c r="BI17" i="86"/>
  <c r="BI7" i="86"/>
  <c r="BI23" i="86"/>
  <c r="BI26" i="86"/>
  <c r="BI5" i="86"/>
  <c r="BI6" i="86"/>
  <c r="M27" i="86"/>
  <c r="BI8" i="86"/>
  <c r="BI15" i="86"/>
  <c r="M25" i="86"/>
  <c r="BI11" i="86"/>
  <c r="AH23" i="86"/>
  <c r="BI18" i="86"/>
  <c r="BI22" i="86"/>
  <c r="BI19" i="86"/>
  <c r="BI10" i="86"/>
  <c r="BI14" i="86"/>
  <c r="BI21" i="86"/>
  <c r="BA25" i="86"/>
  <c r="E36" i="86"/>
  <c r="Z25" i="86"/>
  <c r="X24" i="87"/>
  <c r="Y24" i="87"/>
  <c r="Y22" i="69"/>
  <c r="AW22" i="69"/>
  <c r="AA72" i="87"/>
  <c r="AB72" i="87"/>
  <c r="P109" i="87"/>
  <c r="AK107" i="87"/>
  <c r="AL107" i="87"/>
  <c r="BA22" i="69"/>
  <c r="AC22" i="69"/>
  <c r="AD22" i="69"/>
  <c r="BG26" i="85"/>
  <c r="AY12" i="69"/>
  <c r="AY14" i="69"/>
  <c r="AA23" i="69"/>
  <c r="AY19" i="69"/>
  <c r="AY13" i="69"/>
  <c r="AY23" i="69"/>
  <c r="BC23" i="69" s="1"/>
  <c r="AY9" i="69"/>
  <c r="AY18" i="69"/>
  <c r="AY17" i="69"/>
  <c r="H25" i="69"/>
  <c r="AY15" i="69"/>
  <c r="AY8" i="69"/>
  <c r="H32" i="69"/>
  <c r="AY20" i="69"/>
  <c r="AY16" i="69"/>
  <c r="AY10" i="69"/>
  <c r="AY5" i="69"/>
  <c r="AY6" i="69"/>
  <c r="H27" i="69"/>
  <c r="AY11" i="69"/>
  <c r="AY7" i="69"/>
  <c r="AJ139" i="87"/>
  <c r="AK139" i="87"/>
  <c r="AE146" i="87"/>
  <c r="AF146" i="87"/>
  <c r="AZ9" i="87"/>
  <c r="AZ7" i="87"/>
  <c r="AZ16" i="87"/>
  <c r="AZ11" i="87"/>
  <c r="AZ4" i="87"/>
  <c r="AZ5" i="87"/>
  <c r="AZ27" i="87"/>
  <c r="AZ23" i="87"/>
  <c r="AZ18" i="87"/>
  <c r="AZ20" i="87"/>
  <c r="AZ13" i="87"/>
  <c r="AZ8" i="87"/>
  <c r="AZ14" i="87"/>
  <c r="AZ30" i="87"/>
  <c r="AZ25" i="87"/>
  <c r="AJ30" i="87"/>
  <c r="AZ28" i="87"/>
  <c r="AZ21" i="87"/>
  <c r="AZ52" i="87"/>
  <c r="AQ52" i="87"/>
  <c r="AA52" i="87"/>
  <c r="Z162" i="87"/>
  <c r="AA162" i="87"/>
  <c r="AB60" i="87"/>
  <c r="AG60" i="87"/>
  <c r="AW37" i="87"/>
  <c r="AW53" i="87"/>
  <c r="AW35" i="87"/>
  <c r="AW48" i="87"/>
  <c r="AW57" i="87"/>
  <c r="AW38" i="87"/>
  <c r="AW50" i="87"/>
  <c r="AW34" i="87"/>
  <c r="AW43" i="87"/>
  <c r="AW39" i="87"/>
  <c r="AW51" i="87"/>
  <c r="AW46" i="87"/>
  <c r="AW55" i="87"/>
  <c r="AW60" i="87"/>
  <c r="AW41" i="87"/>
  <c r="AH60" i="87"/>
  <c r="AW44" i="87"/>
  <c r="AW58" i="87"/>
  <c r="P19" i="87"/>
  <c r="AK17" i="87"/>
  <c r="AL17" i="87"/>
  <c r="AR112" i="87"/>
  <c r="AP138" i="87"/>
  <c r="AP147" i="87"/>
  <c r="AP125" i="87"/>
  <c r="AP145" i="87"/>
  <c r="AP134" i="87"/>
  <c r="AP141" i="87"/>
  <c r="AP124" i="87"/>
  <c r="AP149" i="87"/>
  <c r="AP136" i="87"/>
  <c r="AP129" i="87"/>
  <c r="AP131" i="87"/>
  <c r="AP148" i="87"/>
  <c r="AP140" i="87"/>
  <c r="AP127" i="87"/>
  <c r="AP133" i="87"/>
  <c r="AP150" i="87"/>
  <c r="Z150" i="87"/>
  <c r="AP143" i="87"/>
  <c r="AP128" i="87"/>
  <c r="AL13" i="69"/>
  <c r="BF13" i="69"/>
  <c r="AQ142" i="87"/>
  <c r="AA142" i="87"/>
  <c r="AL49" i="87"/>
  <c r="Y90" i="87"/>
  <c r="Q174" i="87"/>
  <c r="Q176" i="87"/>
  <c r="Q172" i="87"/>
  <c r="Q167" i="87"/>
  <c r="Q169" i="87" s="1"/>
  <c r="Q180" i="87"/>
  <c r="Q17" i="85"/>
  <c r="AP17" i="85" s="1"/>
  <c r="AP16" i="85"/>
  <c r="BN13" i="85"/>
  <c r="AT13" i="85"/>
  <c r="AQ13" i="85"/>
  <c r="C167" i="87"/>
  <c r="Y165" i="87"/>
  <c r="C172" i="87"/>
  <c r="C180" i="87"/>
  <c r="X180" i="87" s="1"/>
  <c r="C174" i="87"/>
  <c r="X174" i="87" s="1"/>
  <c r="X165" i="87"/>
  <c r="C176" i="87"/>
  <c r="X176" i="87" s="1"/>
  <c r="BF15" i="69"/>
  <c r="O32" i="69"/>
  <c r="AL23" i="69"/>
  <c r="O25" i="69"/>
  <c r="BF20" i="69"/>
  <c r="BF10" i="69"/>
  <c r="BF6" i="69"/>
  <c r="BF9" i="69"/>
  <c r="BF16" i="69"/>
  <c r="O27" i="69"/>
  <c r="BF18" i="69"/>
  <c r="BF7" i="69"/>
  <c r="BF19" i="69"/>
  <c r="BF5" i="69"/>
  <c r="BF14" i="69"/>
  <c r="BF23" i="69"/>
  <c r="BF11" i="69"/>
  <c r="BB7" i="69"/>
  <c r="BB20" i="69"/>
  <c r="BB23" i="69"/>
  <c r="BB11" i="69"/>
  <c r="BB19" i="69"/>
  <c r="BB6" i="69"/>
  <c r="BB10" i="69"/>
  <c r="BB15" i="69"/>
  <c r="BB9" i="69"/>
  <c r="BB22" i="69"/>
  <c r="BB17" i="69"/>
  <c r="K27" i="69"/>
  <c r="BB14" i="69"/>
  <c r="BB8" i="69"/>
  <c r="BB16" i="69"/>
  <c r="K32" i="69"/>
  <c r="BB21" i="69"/>
  <c r="AD23" i="69"/>
  <c r="BB18" i="69"/>
  <c r="AE23" i="69"/>
  <c r="K25" i="69"/>
  <c r="BB5" i="69"/>
  <c r="AH13" i="86"/>
  <c r="BI13" i="86"/>
  <c r="B86" i="87"/>
  <c r="X86" i="87" s="1"/>
  <c r="B77" i="87"/>
  <c r="B79" i="87" s="1"/>
  <c r="B84" i="87"/>
  <c r="X84" i="87" s="1"/>
  <c r="B90" i="87"/>
  <c r="X90" i="87" s="1"/>
  <c r="B82" i="87"/>
  <c r="X17" i="87"/>
  <c r="Y17" i="87"/>
  <c r="C19" i="87"/>
  <c r="BD30" i="87"/>
  <c r="BE30" i="87"/>
  <c r="AE179" i="87"/>
  <c r="BF17" i="69"/>
  <c r="BB24" i="69"/>
  <c r="AC30" i="87"/>
  <c r="AF107" i="87"/>
  <c r="K109" i="87"/>
  <c r="AF109" i="87" s="1"/>
  <c r="AK116" i="87"/>
  <c r="AL116" i="87"/>
  <c r="AA22" i="69"/>
  <c r="AY22" i="69"/>
  <c r="AM32" i="85"/>
  <c r="AQ32" i="85" s="1"/>
  <c r="BJ23" i="85"/>
  <c r="BJ9" i="85"/>
  <c r="BJ18" i="85"/>
  <c r="BJ5" i="85"/>
  <c r="AM31" i="85"/>
  <c r="AQ31" i="85" s="1"/>
  <c r="BJ26" i="85"/>
  <c r="BJ14" i="85"/>
  <c r="BJ15" i="85"/>
  <c r="AM34" i="85"/>
  <c r="AQ34" i="85" s="1"/>
  <c r="BJ22" i="85"/>
  <c r="AM36" i="85"/>
  <c r="AM33" i="85"/>
  <c r="AQ33" i="85" s="1"/>
  <c r="BJ21" i="85"/>
  <c r="AM35" i="85"/>
  <c r="BJ16" i="85"/>
  <c r="AO23" i="85"/>
  <c r="P32" i="85"/>
  <c r="BJ6" i="85"/>
  <c r="BJ7" i="85"/>
  <c r="AM37" i="85"/>
  <c r="P27" i="85"/>
  <c r="AT27" i="85" s="1"/>
  <c r="BJ19" i="85"/>
  <c r="BJ11" i="85"/>
  <c r="BJ17" i="85"/>
  <c r="BJ10" i="85"/>
  <c r="BJ20" i="85"/>
  <c r="S23" i="85"/>
  <c r="M169" i="87"/>
  <c r="AH167" i="87"/>
  <c r="O19" i="87"/>
  <c r="AJ19" i="87" s="1"/>
  <c r="AJ17" i="87"/>
  <c r="AO13" i="86"/>
  <c r="BL13" i="86"/>
  <c r="BM13" i="86" s="1"/>
  <c r="AZ112" i="87"/>
  <c r="L49" i="87"/>
  <c r="AH49" i="87" s="1"/>
  <c r="AG47" i="87"/>
  <c r="Z144" i="87"/>
  <c r="H88" i="67"/>
  <c r="H76" i="67"/>
  <c r="BB120" i="87"/>
  <c r="BC120" i="87"/>
  <c r="AA144" i="87"/>
  <c r="R167" i="87"/>
  <c r="R169" i="87" s="1"/>
  <c r="R180" i="87"/>
  <c r="R174" i="87"/>
  <c r="R172" i="87"/>
  <c r="R176" i="87"/>
  <c r="BB16" i="86"/>
  <c r="BB9" i="86"/>
  <c r="BB8" i="86"/>
  <c r="BB19" i="86"/>
  <c r="AA23" i="86"/>
  <c r="BB10" i="86"/>
  <c r="BB18" i="86"/>
  <c r="BB20" i="86"/>
  <c r="BB23" i="86"/>
  <c r="BB7" i="86"/>
  <c r="BB14" i="86"/>
  <c r="BB15" i="86"/>
  <c r="F34" i="86"/>
  <c r="BB11" i="86"/>
  <c r="F27" i="86"/>
  <c r="BB5" i="86"/>
  <c r="BB17" i="86"/>
  <c r="F25" i="86"/>
  <c r="BB6" i="86"/>
  <c r="AK22" i="69"/>
  <c r="BE22" i="69"/>
  <c r="AF13" i="86"/>
  <c r="AE13" i="86"/>
  <c r="BF13" i="86"/>
  <c r="N90" i="87"/>
  <c r="N86" i="87"/>
  <c r="N82" i="87"/>
  <c r="N77" i="87"/>
  <c r="N79" i="87" s="1"/>
  <c r="N84" i="87"/>
  <c r="O77" i="87"/>
  <c r="O79" i="87" s="1"/>
  <c r="O90" i="87"/>
  <c r="O82" i="87"/>
  <c r="O84" i="87"/>
  <c r="O86" i="87"/>
  <c r="AI172" i="87"/>
  <c r="BD116" i="87"/>
  <c r="BE116" i="87"/>
  <c r="Y84" i="87"/>
  <c r="Z84" i="87"/>
  <c r="AI54" i="87"/>
  <c r="AJ54" i="87"/>
  <c r="Z179" i="87"/>
  <c r="T28" i="86"/>
  <c r="AP9" i="85"/>
  <c r="Q12" i="85"/>
  <c r="BN27" i="85"/>
  <c r="U36" i="85"/>
  <c r="BD9" i="69"/>
  <c r="M32" i="69"/>
  <c r="BD5" i="69"/>
  <c r="AF23" i="69"/>
  <c r="BD23" i="69"/>
  <c r="BD11" i="69"/>
  <c r="BD19" i="69"/>
  <c r="BD16" i="69"/>
  <c r="AJ23" i="69"/>
  <c r="BD14" i="69"/>
  <c r="BD15" i="69"/>
  <c r="BD10" i="69"/>
  <c r="AI23" i="69"/>
  <c r="BD6" i="69"/>
  <c r="AH23" i="69"/>
  <c r="BD20" i="69"/>
  <c r="BD7" i="69"/>
  <c r="BD12" i="69"/>
  <c r="BD17" i="69"/>
  <c r="M25" i="69"/>
  <c r="M27" i="69"/>
  <c r="AG23" i="69"/>
  <c r="BD18" i="69"/>
  <c r="AG109" i="87"/>
  <c r="AH109" i="87"/>
  <c r="AO142" i="87"/>
  <c r="Y142" i="87"/>
  <c r="BD47" i="87"/>
  <c r="T49" i="87"/>
  <c r="BE47" i="87"/>
  <c r="AM27" i="85"/>
  <c r="BH27" i="85"/>
  <c r="BK27" i="85" s="1"/>
  <c r="N36" i="85"/>
  <c r="AE13" i="85"/>
  <c r="BD13" i="85"/>
  <c r="AF13" i="85"/>
  <c r="AC17" i="87"/>
  <c r="AN22" i="87"/>
  <c r="X22" i="87"/>
  <c r="Y22" i="87"/>
  <c r="BD22" i="87"/>
  <c r="BE22" i="87"/>
  <c r="AR29" i="87"/>
  <c r="BG22" i="69"/>
  <c r="BH22" i="69" s="1"/>
  <c r="AM22" i="69"/>
  <c r="BR21" i="86"/>
  <c r="BQ21" i="86"/>
  <c r="BB22" i="86"/>
  <c r="AA22" i="86"/>
  <c r="F82" i="87"/>
  <c r="AA82" i="87" s="1"/>
  <c r="AA75" i="87"/>
  <c r="F84" i="87"/>
  <c r="AA84" i="87" s="1"/>
  <c r="F86" i="87"/>
  <c r="AA86" i="87" s="1"/>
  <c r="F77" i="87"/>
  <c r="F90" i="87"/>
  <c r="AA90" i="87" s="1"/>
  <c r="AV101" i="87"/>
  <c r="AV94" i="87"/>
  <c r="AV120" i="87"/>
  <c r="AV115" i="87"/>
  <c r="AV95" i="87"/>
  <c r="AG120" i="87"/>
  <c r="AV119" i="87"/>
  <c r="AV103" i="87"/>
  <c r="AV113" i="87"/>
  <c r="AV106" i="87"/>
  <c r="AV97" i="87"/>
  <c r="AF120" i="87"/>
  <c r="AV111" i="87"/>
  <c r="AV117" i="87"/>
  <c r="AV118" i="87"/>
  <c r="AV108" i="87"/>
  <c r="AV110" i="87"/>
  <c r="AV99" i="87"/>
  <c r="AV98" i="87"/>
  <c r="AV104" i="87"/>
  <c r="M139" i="87"/>
  <c r="AH139" i="87" s="1"/>
  <c r="AH137" i="87"/>
  <c r="AJ179" i="87"/>
  <c r="AG114" i="87"/>
  <c r="J84" i="87"/>
  <c r="AE75" i="87"/>
  <c r="J82" i="87"/>
  <c r="J90" i="87"/>
  <c r="J77" i="87"/>
  <c r="J86" i="87"/>
  <c r="K49" i="87"/>
  <c r="AF49" i="87" s="1"/>
  <c r="AF47" i="87"/>
  <c r="AE137" i="87"/>
  <c r="J139" i="87"/>
  <c r="AF139" i="87" s="1"/>
  <c r="AF137" i="87"/>
  <c r="AK167" i="87"/>
  <c r="P169" i="87"/>
  <c r="AK169" i="87" s="1"/>
  <c r="AH174" i="87"/>
  <c r="AZ22" i="87"/>
  <c r="AJ22" i="87"/>
  <c r="AB70" i="87"/>
  <c r="AZ29" i="87"/>
  <c r="AK30" i="87"/>
  <c r="AL30" i="87"/>
  <c r="Z142" i="87"/>
  <c r="AP142" i="87"/>
  <c r="C79" i="87"/>
  <c r="X79" i="87" s="1"/>
  <c r="X77" i="87"/>
  <c r="I174" i="87"/>
  <c r="AD174" i="87" s="1"/>
  <c r="I176" i="87"/>
  <c r="AD165" i="87"/>
  <c r="I180" i="87"/>
  <c r="AD180" i="87" s="1"/>
  <c r="I172" i="87"/>
  <c r="I167" i="87"/>
  <c r="AE165" i="87"/>
  <c r="AA146" i="87"/>
  <c r="AG22" i="87"/>
  <c r="AW22" i="87"/>
  <c r="AH22" i="87"/>
  <c r="BJ13" i="86"/>
  <c r="AM13" i="86"/>
  <c r="BE17" i="69"/>
  <c r="AK23" i="69"/>
  <c r="BE5" i="69"/>
  <c r="N32" i="69"/>
  <c r="BE12" i="69"/>
  <c r="BE16" i="69"/>
  <c r="BE15" i="69"/>
  <c r="BE19" i="69"/>
  <c r="BE10" i="69"/>
  <c r="BE23" i="69"/>
  <c r="BE9" i="69"/>
  <c r="BE18" i="69"/>
  <c r="BE7" i="69"/>
  <c r="N25" i="69"/>
  <c r="BE14" i="69"/>
  <c r="BE20" i="69"/>
  <c r="BE11" i="69"/>
  <c r="N27" i="69"/>
  <c r="BE6" i="69"/>
  <c r="AA13" i="86"/>
  <c r="BB13" i="86"/>
  <c r="AB13" i="86"/>
  <c r="BE21" i="69"/>
  <c r="BF12" i="86"/>
  <c r="BG21" i="85"/>
  <c r="AC22" i="87"/>
  <c r="N169" i="87"/>
  <c r="AI167" i="87"/>
  <c r="AJ167" i="87"/>
  <c r="AB54" i="87"/>
  <c r="AH160" i="87"/>
  <c r="BD112" i="87"/>
  <c r="BE112" i="87"/>
  <c r="Z77" i="87"/>
  <c r="Y77" i="87"/>
  <c r="D79" i="87"/>
  <c r="N49" i="87"/>
  <c r="AI49" i="87" s="1"/>
  <c r="AI47" i="87"/>
  <c r="BJ13" i="85"/>
  <c r="AO13" i="85"/>
  <c r="BD13" i="69"/>
  <c r="AJ13" i="69"/>
  <c r="AH13" i="69"/>
  <c r="AG13" i="69"/>
  <c r="AI13" i="69"/>
  <c r="AF13" i="69"/>
  <c r="BD60" i="87"/>
  <c r="BE60" i="87"/>
  <c r="Y162" i="87"/>
  <c r="BE142" i="87"/>
  <c r="BF142" i="87"/>
  <c r="J25" i="85"/>
  <c r="BD23" i="85"/>
  <c r="BD14" i="85"/>
  <c r="BD7" i="85"/>
  <c r="BD19" i="85"/>
  <c r="BD17" i="85"/>
  <c r="BD11" i="85"/>
  <c r="BD5" i="85"/>
  <c r="BD15" i="85"/>
  <c r="BD18" i="85"/>
  <c r="AE23" i="85"/>
  <c r="BD20" i="85"/>
  <c r="J32" i="85"/>
  <c r="BD8" i="85"/>
  <c r="J27" i="85"/>
  <c r="AF23" i="85"/>
  <c r="BD6" i="85"/>
  <c r="BD16" i="85"/>
  <c r="BD9" i="85"/>
  <c r="BD10" i="85"/>
  <c r="Z23" i="69"/>
  <c r="AX6" i="69"/>
  <c r="AX13" i="69"/>
  <c r="AX17" i="69"/>
  <c r="AX14" i="69"/>
  <c r="AX5" i="69"/>
  <c r="G32" i="69"/>
  <c r="AX12" i="69"/>
  <c r="AX15" i="69"/>
  <c r="AX24" i="69"/>
  <c r="AX9" i="69"/>
  <c r="AX19" i="69"/>
  <c r="G27" i="69"/>
  <c r="AX10" i="69"/>
  <c r="AX8" i="69"/>
  <c r="AX16" i="69"/>
  <c r="AX23" i="69"/>
  <c r="AX7" i="69"/>
  <c r="AX18" i="69"/>
  <c r="G25" i="69"/>
  <c r="AX20" i="69"/>
  <c r="AX11" i="69"/>
  <c r="AO33" i="86"/>
  <c r="AN34" i="86"/>
  <c r="AB22" i="86"/>
  <c r="BC22" i="86"/>
  <c r="BD139" i="87"/>
  <c r="X26" i="87"/>
  <c r="Y26" i="87"/>
  <c r="BD24" i="87"/>
  <c r="BE24" i="87"/>
  <c r="BG8" i="85"/>
  <c r="AI137" i="87"/>
  <c r="AK114" i="87"/>
  <c r="AL114" i="87"/>
  <c r="AK37" i="69"/>
  <c r="BG9" i="69"/>
  <c r="BH9" i="69" s="1"/>
  <c r="R23" i="69"/>
  <c r="BG18" i="69"/>
  <c r="BH18" i="69" s="1"/>
  <c r="P27" i="69"/>
  <c r="AK35" i="69"/>
  <c r="AK34" i="69"/>
  <c r="AK31" i="69"/>
  <c r="AO31" i="69" s="1"/>
  <c r="P32" i="69"/>
  <c r="AK36" i="69"/>
  <c r="AK33" i="69"/>
  <c r="BG6" i="69"/>
  <c r="BH6" i="69" s="1"/>
  <c r="BG16" i="69"/>
  <c r="BH16" i="69" s="1"/>
  <c r="BG20" i="69"/>
  <c r="BH20" i="69" s="1"/>
  <c r="AK32" i="69"/>
  <c r="AO32" i="69" s="1"/>
  <c r="BG12" i="69"/>
  <c r="BH12" i="69" s="1"/>
  <c r="BG11" i="69"/>
  <c r="BH11" i="69" s="1"/>
  <c r="BG19" i="69"/>
  <c r="BH19" i="69" s="1"/>
  <c r="BG7" i="69"/>
  <c r="BH7" i="69" s="1"/>
  <c r="BG23" i="69"/>
  <c r="BH23" i="69" s="1"/>
  <c r="AM23" i="69"/>
  <c r="BG14" i="69"/>
  <c r="BH14" i="69" s="1"/>
  <c r="BG15" i="69"/>
  <c r="BH15" i="69" s="1"/>
  <c r="BG5" i="69"/>
  <c r="BH5" i="69" s="1"/>
  <c r="BG10" i="69"/>
  <c r="BH10" i="69" s="1"/>
  <c r="BG8" i="69"/>
  <c r="BH8" i="69" s="1"/>
  <c r="BA12" i="69"/>
  <c r="BA14" i="69"/>
  <c r="J32" i="69"/>
  <c r="BA9" i="69"/>
  <c r="BA10" i="69"/>
  <c r="BA19" i="69"/>
  <c r="J25" i="69"/>
  <c r="BA8" i="69"/>
  <c r="BA7" i="69"/>
  <c r="BA23" i="69"/>
  <c r="BA11" i="69"/>
  <c r="BA18" i="69"/>
  <c r="BA21" i="69"/>
  <c r="BA20" i="69"/>
  <c r="BA24" i="69"/>
  <c r="BA5" i="69"/>
  <c r="AC23" i="69"/>
  <c r="BA13" i="69"/>
  <c r="BA6" i="69"/>
  <c r="BA16" i="69"/>
  <c r="J27" i="69"/>
  <c r="BA15" i="69"/>
  <c r="AC24" i="87"/>
  <c r="AE70" i="87"/>
  <c r="AV44" i="87"/>
  <c r="AV46" i="87"/>
  <c r="AV53" i="87"/>
  <c r="AV43" i="87"/>
  <c r="AV48" i="87"/>
  <c r="AV50" i="87"/>
  <c r="AV51" i="87"/>
  <c r="AV57" i="87"/>
  <c r="AV60" i="87"/>
  <c r="AV35" i="87"/>
  <c r="AV39" i="87"/>
  <c r="AV41" i="87"/>
  <c r="AF60" i="87"/>
  <c r="AV34" i="87"/>
  <c r="AV55" i="87"/>
  <c r="AV37" i="87"/>
  <c r="AV58" i="87"/>
  <c r="AV38" i="87"/>
  <c r="AU142" i="87"/>
  <c r="AE142" i="87"/>
  <c r="AH172" i="87"/>
  <c r="AB75" i="87"/>
  <c r="AQ46" i="87"/>
  <c r="AQ34" i="87"/>
  <c r="AQ55" i="87"/>
  <c r="AQ43" i="87"/>
  <c r="AQ57" i="87"/>
  <c r="AQ39" i="87"/>
  <c r="AQ51" i="87"/>
  <c r="AQ35" i="87"/>
  <c r="AQ59" i="87"/>
  <c r="AQ50" i="87"/>
  <c r="AQ38" i="87"/>
  <c r="AQ58" i="87"/>
  <c r="AQ48" i="87"/>
  <c r="AQ60" i="87"/>
  <c r="AQ37" i="87"/>
  <c r="AA60" i="87"/>
  <c r="AQ44" i="87"/>
  <c r="AQ53" i="87"/>
  <c r="AQ41" i="87"/>
  <c r="AP26" i="69"/>
  <c r="S35" i="69"/>
  <c r="BL6" i="86"/>
  <c r="BM6" i="86" s="1"/>
  <c r="AM39" i="86"/>
  <c r="R23" i="86"/>
  <c r="BL17" i="86"/>
  <c r="BM17" i="86" s="1"/>
  <c r="AM37" i="86"/>
  <c r="BL8" i="86"/>
  <c r="BM8" i="86" s="1"/>
  <c r="BL23" i="86"/>
  <c r="BM23" i="86" s="1"/>
  <c r="BL14" i="86"/>
  <c r="BM14" i="86" s="1"/>
  <c r="BL18" i="86"/>
  <c r="BM18" i="86" s="1"/>
  <c r="BL7" i="86"/>
  <c r="BM7" i="86" s="1"/>
  <c r="P34" i="86"/>
  <c r="BL22" i="86"/>
  <c r="BM22" i="86" s="1"/>
  <c r="BL9" i="86"/>
  <c r="BM9" i="86" s="1"/>
  <c r="BL10" i="86"/>
  <c r="BM10" i="86" s="1"/>
  <c r="AM38" i="86"/>
  <c r="BL15" i="86"/>
  <c r="BM15" i="86" s="1"/>
  <c r="BL21" i="86"/>
  <c r="BM21" i="86" s="1"/>
  <c r="BL19" i="86"/>
  <c r="BM19" i="86" s="1"/>
  <c r="BL16" i="86"/>
  <c r="BM16" i="86" s="1"/>
  <c r="AM33" i="86"/>
  <c r="AQ33" i="86" s="1"/>
  <c r="BL11" i="86"/>
  <c r="BM11" i="86" s="1"/>
  <c r="P27" i="86"/>
  <c r="AM34" i="86"/>
  <c r="BL20" i="86"/>
  <c r="BM20" i="86" s="1"/>
  <c r="AO23" i="86"/>
  <c r="AM35" i="86"/>
  <c r="BL5" i="86"/>
  <c r="BM5" i="86" s="1"/>
  <c r="AM36" i="86"/>
  <c r="AJ22" i="69"/>
  <c r="AF22" i="69"/>
  <c r="AG22" i="69"/>
  <c r="AI22" i="69"/>
  <c r="AH22" i="69"/>
  <c r="BD22" i="69"/>
  <c r="BG7" i="86"/>
  <c r="BG6" i="86"/>
  <c r="BG19" i="86"/>
  <c r="BG16" i="86"/>
  <c r="BG15" i="86"/>
  <c r="BG20" i="86"/>
  <c r="AF23" i="86"/>
  <c r="BG9" i="86"/>
  <c r="BG14" i="86"/>
  <c r="BG12" i="86"/>
  <c r="BG23" i="86"/>
  <c r="BG13" i="86"/>
  <c r="AG23" i="86"/>
  <c r="BG5" i="86"/>
  <c r="BG8" i="86"/>
  <c r="K27" i="86"/>
  <c r="K34" i="86"/>
  <c r="K25" i="86"/>
  <c r="BG11" i="86"/>
  <c r="BG10" i="86"/>
  <c r="BG18" i="86"/>
  <c r="BG21" i="86"/>
  <c r="AW45" i="87"/>
  <c r="Z146" i="87"/>
  <c r="X75" i="87"/>
  <c r="AR134" i="87"/>
  <c r="AR147" i="87"/>
  <c r="AR125" i="87"/>
  <c r="AR141" i="87"/>
  <c r="AR140" i="87"/>
  <c r="AR129" i="87"/>
  <c r="AR138" i="87"/>
  <c r="AR133" i="87"/>
  <c r="AR148" i="87"/>
  <c r="AR150" i="87"/>
  <c r="AR136" i="87"/>
  <c r="AR145" i="87"/>
  <c r="AR143" i="87"/>
  <c r="AB150" i="87"/>
  <c r="AR124" i="87"/>
  <c r="AR127" i="87"/>
  <c r="AR131" i="87"/>
  <c r="AR128" i="87"/>
  <c r="AR149" i="87"/>
  <c r="AE162" i="87"/>
  <c r="AD162" i="87"/>
  <c r="AW11" i="87"/>
  <c r="AW4" i="87"/>
  <c r="AG30" i="87"/>
  <c r="AW30" i="87"/>
  <c r="AW21" i="87"/>
  <c r="AW13" i="87"/>
  <c r="AW5" i="87"/>
  <c r="AW27" i="87"/>
  <c r="AW28" i="87"/>
  <c r="AW20" i="87"/>
  <c r="AW29" i="87"/>
  <c r="AW9" i="87"/>
  <c r="AW16" i="87"/>
  <c r="AW23" i="87"/>
  <c r="AW25" i="87"/>
  <c r="AW18" i="87"/>
  <c r="AW7" i="87"/>
  <c r="AH30" i="87"/>
  <c r="AW8" i="87"/>
  <c r="AW14" i="87"/>
  <c r="AM23" i="86"/>
  <c r="BJ22" i="86"/>
  <c r="BJ9" i="86"/>
  <c r="BJ6" i="86"/>
  <c r="N27" i="86"/>
  <c r="BJ5" i="86"/>
  <c r="BJ21" i="86"/>
  <c r="BJ11" i="86"/>
  <c r="BJ20" i="86"/>
  <c r="BJ19" i="86"/>
  <c r="BJ8" i="86"/>
  <c r="N34" i="86"/>
  <c r="BJ14" i="86"/>
  <c r="BJ16" i="86"/>
  <c r="BJ15" i="86"/>
  <c r="N25" i="86"/>
  <c r="BJ10" i="86"/>
  <c r="BJ17" i="86"/>
  <c r="BJ18" i="86"/>
  <c r="BJ7" i="86"/>
  <c r="BJ23" i="86"/>
  <c r="BC142" i="87"/>
  <c r="BD142" i="87"/>
  <c r="K176" i="87"/>
  <c r="AF176" i="87" s="1"/>
  <c r="K174" i="87"/>
  <c r="AF174" i="87" s="1"/>
  <c r="K180" i="87"/>
  <c r="AF180" i="87" s="1"/>
  <c r="K167" i="87"/>
  <c r="K172" i="87"/>
  <c r="AF172" i="87" s="1"/>
  <c r="AF165" i="87"/>
  <c r="BD120" i="87"/>
  <c r="BE120" i="87"/>
  <c r="Y86" i="87"/>
  <c r="Z86" i="87"/>
  <c r="H25" i="85"/>
  <c r="BB22" i="85"/>
  <c r="H32" i="85"/>
  <c r="BB7" i="85"/>
  <c r="AD23" i="85"/>
  <c r="BB20" i="85"/>
  <c r="BB9" i="85"/>
  <c r="BB14" i="85"/>
  <c r="BB15" i="85"/>
  <c r="BB19" i="85"/>
  <c r="BB23" i="85"/>
  <c r="BF23" i="85" s="1"/>
  <c r="BB16" i="85"/>
  <c r="BB12" i="85"/>
  <c r="BB6" i="85"/>
  <c r="BB10" i="85"/>
  <c r="BB11" i="85"/>
  <c r="BB17" i="85"/>
  <c r="H27" i="85"/>
  <c r="BB24" i="85"/>
  <c r="BF24" i="85" s="1"/>
  <c r="BB18" i="85"/>
  <c r="BB21" i="85"/>
  <c r="AC23" i="85"/>
  <c r="BB5" i="85"/>
  <c r="I86" i="87"/>
  <c r="AD86" i="87" s="1"/>
  <c r="I84" i="87"/>
  <c r="AD84" i="87" s="1"/>
  <c r="I77" i="87"/>
  <c r="I82" i="87"/>
  <c r="AD75" i="87"/>
  <c r="I90" i="87"/>
  <c r="AD90" i="87" s="1"/>
  <c r="BD52" i="87"/>
  <c r="BE52" i="87"/>
  <c r="AA22" i="85"/>
  <c r="AZ22" i="85"/>
  <c r="AA23" i="85"/>
  <c r="AZ9" i="85"/>
  <c r="F27" i="85"/>
  <c r="AZ10" i="85"/>
  <c r="AZ17" i="85"/>
  <c r="AZ19" i="85"/>
  <c r="AZ14" i="85"/>
  <c r="AZ20" i="85"/>
  <c r="AZ8" i="85"/>
  <c r="AZ15" i="85"/>
  <c r="AZ5" i="85"/>
  <c r="AZ23" i="85"/>
  <c r="F25" i="85"/>
  <c r="AZ24" i="85"/>
  <c r="AZ6" i="85"/>
  <c r="F32" i="85"/>
  <c r="AZ18" i="85"/>
  <c r="AZ7" i="85"/>
  <c r="AZ11" i="85"/>
  <c r="AZ16" i="85"/>
  <c r="AH162" i="87"/>
  <c r="AN28" i="87"/>
  <c r="AN13" i="87"/>
  <c r="Y30" i="87"/>
  <c r="AN23" i="87"/>
  <c r="AN21" i="87"/>
  <c r="AN20" i="87"/>
  <c r="AN16" i="87"/>
  <c r="AN9" i="87"/>
  <c r="AN25" i="87"/>
  <c r="AN7" i="87"/>
  <c r="AN18" i="87"/>
  <c r="AN5" i="87"/>
  <c r="AN8" i="87"/>
  <c r="AN27" i="87"/>
  <c r="AN4" i="87"/>
  <c r="AN142" i="87"/>
  <c r="AN14" i="87"/>
  <c r="AN11" i="87"/>
  <c r="X30" i="87"/>
  <c r="AN30" i="87"/>
  <c r="AN52" i="87"/>
  <c r="AN112" i="87"/>
  <c r="AN29" i="87"/>
  <c r="AL13" i="85"/>
  <c r="BG13" i="85"/>
  <c r="BE17" i="86"/>
  <c r="BH17" i="86" s="1"/>
  <c r="BG22" i="86"/>
  <c r="AF22" i="86"/>
  <c r="AH22" i="86"/>
  <c r="BF24" i="69"/>
  <c r="BH24" i="69" s="1"/>
  <c r="AE72" i="87"/>
  <c r="AU150" i="87"/>
  <c r="AU136" i="87"/>
  <c r="AU134" i="87"/>
  <c r="AU140" i="87"/>
  <c r="AU141" i="87"/>
  <c r="AU129" i="87"/>
  <c r="AU147" i="87"/>
  <c r="AU148" i="87"/>
  <c r="AU125" i="87"/>
  <c r="AU127" i="87"/>
  <c r="AE150" i="87"/>
  <c r="AU133" i="87"/>
  <c r="AU145" i="87"/>
  <c r="AU149" i="87"/>
  <c r="AU138" i="87"/>
  <c r="AU143" i="87"/>
  <c r="AU124" i="87"/>
  <c r="AU128" i="87"/>
  <c r="AU131" i="87"/>
  <c r="AK176" i="87"/>
  <c r="AH165" i="87"/>
  <c r="G79" i="87"/>
  <c r="AB77" i="87"/>
  <c r="AC77" i="87"/>
  <c r="AA47" i="87"/>
  <c r="F49" i="87"/>
  <c r="AV13" i="86"/>
  <c r="AS13" i="86"/>
  <c r="BP13" i="86"/>
  <c r="BA12" i="85"/>
  <c r="AG54" i="87"/>
  <c r="AH54" i="87"/>
  <c r="T27" i="69"/>
  <c r="T32" i="69"/>
  <c r="BJ5" i="69"/>
  <c r="Q5" i="69" s="1"/>
  <c r="AQ23" i="69"/>
  <c r="BJ11" i="69"/>
  <c r="Q11" i="69" s="1"/>
  <c r="AN11" i="69" s="1"/>
  <c r="BJ18" i="69"/>
  <c r="Q18" i="69" s="1"/>
  <c r="AN18" i="69" s="1"/>
  <c r="BJ9" i="69"/>
  <c r="Q9" i="69" s="1"/>
  <c r="BJ7" i="69"/>
  <c r="Q7" i="69" s="1"/>
  <c r="AN7" i="69" s="1"/>
  <c r="BJ14" i="69"/>
  <c r="Q14" i="69" s="1"/>
  <c r="AN14" i="69" s="1"/>
  <c r="BJ20" i="69"/>
  <c r="Q20" i="69" s="1"/>
  <c r="BJ6" i="69"/>
  <c r="Q6" i="69" s="1"/>
  <c r="AN6" i="69" s="1"/>
  <c r="BJ23" i="69"/>
  <c r="BJ19" i="69"/>
  <c r="Q19" i="69" s="1"/>
  <c r="AN19" i="69" s="1"/>
  <c r="BJ21" i="69"/>
  <c r="BJ12" i="69"/>
  <c r="BJ10" i="69"/>
  <c r="Q10" i="69" s="1"/>
  <c r="AN10" i="69" s="1"/>
  <c r="BJ16" i="69"/>
  <c r="Q16" i="69" s="1"/>
  <c r="BJ15" i="69"/>
  <c r="Q15" i="69" s="1"/>
  <c r="AN15" i="69" s="1"/>
  <c r="BJ17" i="69"/>
  <c r="AZ7" i="69"/>
  <c r="BC7" i="69" s="1"/>
  <c r="L7" i="69" s="1"/>
  <c r="AE7" i="69" s="1"/>
  <c r="AZ14" i="69"/>
  <c r="BC14" i="69" s="1"/>
  <c r="L14" i="69" s="1"/>
  <c r="AE14" i="69" s="1"/>
  <c r="AB23" i="69"/>
  <c r="I27" i="69"/>
  <c r="AZ6" i="69"/>
  <c r="BC6" i="69" s="1"/>
  <c r="L6" i="69" s="1"/>
  <c r="AE6" i="69" s="1"/>
  <c r="AZ16" i="69"/>
  <c r="BC16" i="69" s="1"/>
  <c r="L16" i="69" s="1"/>
  <c r="AZ19" i="69"/>
  <c r="BC19" i="69" s="1"/>
  <c r="L19" i="69" s="1"/>
  <c r="AE19" i="69" s="1"/>
  <c r="AZ12" i="69"/>
  <c r="BC12" i="69" s="1"/>
  <c r="AZ18" i="69"/>
  <c r="BC18" i="69" s="1"/>
  <c r="L18" i="69" s="1"/>
  <c r="AE18" i="69" s="1"/>
  <c r="AZ20" i="69"/>
  <c r="BC20" i="69" s="1"/>
  <c r="L20" i="69" s="1"/>
  <c r="AZ10" i="69"/>
  <c r="BC10" i="69" s="1"/>
  <c r="L10" i="69" s="1"/>
  <c r="AE10" i="69" s="1"/>
  <c r="AZ23" i="69"/>
  <c r="I32" i="69"/>
  <c r="AZ9" i="69"/>
  <c r="BC9" i="69" s="1"/>
  <c r="L9" i="69" s="1"/>
  <c r="AZ5" i="69"/>
  <c r="BC5" i="69" s="1"/>
  <c r="L5" i="69" s="1"/>
  <c r="AZ11" i="69"/>
  <c r="BC11" i="69" s="1"/>
  <c r="L11" i="69" s="1"/>
  <c r="AE11" i="69" s="1"/>
  <c r="I25" i="69"/>
  <c r="AZ15" i="69"/>
  <c r="BC15" i="69" s="1"/>
  <c r="L15" i="69" s="1"/>
  <c r="AE15" i="69" s="1"/>
  <c r="AN22" i="85"/>
  <c r="BI22" i="85"/>
  <c r="AO22" i="85"/>
  <c r="X82" i="87"/>
  <c r="AB142" i="87"/>
  <c r="AR142" i="87"/>
  <c r="AA137" i="87"/>
  <c r="F139" i="87"/>
  <c r="AG26" i="87"/>
  <c r="AH26" i="87"/>
  <c r="AN13" i="85"/>
  <c r="BI13" i="85"/>
  <c r="AI174" i="87"/>
  <c r="BE107" i="87"/>
  <c r="T109" i="87"/>
  <c r="BD107" i="87"/>
  <c r="Y180" i="87"/>
  <c r="AL120" i="87"/>
  <c r="AP5" i="85"/>
  <c r="Q26" i="85"/>
  <c r="Q8" i="85"/>
  <c r="AP8" i="85" s="1"/>
  <c r="AL22" i="69"/>
  <c r="BF22" i="69"/>
  <c r="AO147" i="87"/>
  <c r="Y150" i="87"/>
  <c r="AO140" i="87"/>
  <c r="AO148" i="87"/>
  <c r="AO125" i="87"/>
  <c r="AO129" i="87"/>
  <c r="AO133" i="87"/>
  <c r="AO131" i="87"/>
  <c r="AO143" i="87"/>
  <c r="AO141" i="87"/>
  <c r="AO136" i="87"/>
  <c r="AO145" i="87"/>
  <c r="AO127" i="87"/>
  <c r="AO124" i="87"/>
  <c r="AO150" i="87"/>
  <c r="AO134" i="87"/>
  <c r="AO138" i="87"/>
  <c r="AO128" i="87"/>
  <c r="AR15" i="87"/>
  <c r="BD56" i="87"/>
  <c r="BE56" i="87"/>
  <c r="AJ49" i="87"/>
  <c r="AX22" i="69"/>
  <c r="Z22" i="69"/>
  <c r="AZ13" i="85"/>
  <c r="AA13" i="85"/>
  <c r="Y89" i="87"/>
  <c r="Z89" i="87"/>
  <c r="BF26" i="69"/>
  <c r="S23" i="86"/>
  <c r="AR12" i="86"/>
  <c r="AU12" i="86"/>
  <c r="S13" i="86"/>
  <c r="BE22" i="86"/>
  <c r="BH22" i="86" s="1"/>
  <c r="AD22" i="86"/>
  <c r="AG116" i="87"/>
  <c r="AF112" i="87"/>
  <c r="AV112" i="87"/>
  <c r="BC47" i="87"/>
  <c r="S49" i="87"/>
  <c r="BC49" i="87" s="1"/>
  <c r="AX131" i="87"/>
  <c r="AX125" i="87"/>
  <c r="AX147" i="87"/>
  <c r="AX136" i="87"/>
  <c r="AX141" i="87"/>
  <c r="AX124" i="87"/>
  <c r="AX127" i="87"/>
  <c r="AX149" i="87"/>
  <c r="AX138" i="87"/>
  <c r="AH150" i="87"/>
  <c r="AX134" i="87"/>
  <c r="AX140" i="87"/>
  <c r="AX129" i="87"/>
  <c r="AX133" i="87"/>
  <c r="AX150" i="87"/>
  <c r="AX145" i="87"/>
  <c r="AX128" i="87"/>
  <c r="AX143" i="87"/>
  <c r="AX148" i="87"/>
  <c r="BJ8" i="85"/>
  <c r="AC22" i="85"/>
  <c r="BA22" i="85"/>
  <c r="AB22" i="85"/>
  <c r="AF52" i="87"/>
  <c r="AV52" i="87"/>
  <c r="AK180" i="87"/>
  <c r="AA56" i="87"/>
  <c r="AB56" i="87"/>
  <c r="BG17" i="69"/>
  <c r="BH17" i="69" s="1"/>
  <c r="AW16" i="69"/>
  <c r="Y23" i="69"/>
  <c r="AW20" i="69"/>
  <c r="F27" i="69"/>
  <c r="AW19" i="69"/>
  <c r="AW7" i="69"/>
  <c r="AW14" i="69"/>
  <c r="AW15" i="69"/>
  <c r="AW23" i="69"/>
  <c r="AW21" i="69"/>
  <c r="AW18" i="69"/>
  <c r="AW10" i="69"/>
  <c r="AW11" i="69"/>
  <c r="AW8" i="69"/>
  <c r="F32" i="69"/>
  <c r="AW9" i="69"/>
  <c r="AW5" i="69"/>
  <c r="AW6" i="69"/>
  <c r="F25" i="69"/>
  <c r="BP20" i="86"/>
  <c r="BP6" i="86"/>
  <c r="BP11" i="86"/>
  <c r="BP7" i="86"/>
  <c r="T34" i="86"/>
  <c r="BP18" i="86"/>
  <c r="BP10" i="86"/>
  <c r="AS23" i="86"/>
  <c r="AV23" i="86"/>
  <c r="BP19" i="86"/>
  <c r="BP16" i="86"/>
  <c r="BP9" i="86"/>
  <c r="BP14" i="86"/>
  <c r="BP5" i="86"/>
  <c r="BP15" i="86"/>
  <c r="BP21" i="86"/>
  <c r="T27" i="86"/>
  <c r="BP23" i="86"/>
  <c r="BP8" i="86"/>
  <c r="BP17" i="86"/>
  <c r="BA13" i="85"/>
  <c r="AB13" i="85"/>
  <c r="AC179" i="87"/>
  <c r="AK24" i="87"/>
  <c r="AL24" i="87"/>
  <c r="AZ149" i="87"/>
  <c r="E139" i="87"/>
  <c r="Z137" i="87"/>
  <c r="BK19" i="86"/>
  <c r="AN23" i="86"/>
  <c r="BK9" i="86"/>
  <c r="BK7" i="86"/>
  <c r="BK12" i="86"/>
  <c r="BK5" i="86"/>
  <c r="O27" i="86"/>
  <c r="BK17" i="86"/>
  <c r="BK14" i="86"/>
  <c r="O25" i="86"/>
  <c r="BK11" i="86"/>
  <c r="BK20" i="86"/>
  <c r="O34" i="86"/>
  <c r="BK16" i="86"/>
  <c r="BK15" i="86"/>
  <c r="BK10" i="86"/>
  <c r="BK23" i="86"/>
  <c r="BK6" i="86"/>
  <c r="BK18" i="86"/>
  <c r="AB146" i="87"/>
  <c r="AE160" i="87"/>
  <c r="AD160" i="87"/>
  <c r="AQ140" i="87"/>
  <c r="AQ127" i="87"/>
  <c r="AA150" i="87"/>
  <c r="AQ124" i="87"/>
  <c r="AQ133" i="87"/>
  <c r="AQ145" i="87"/>
  <c r="AQ128" i="87"/>
  <c r="AQ147" i="87"/>
  <c r="AQ148" i="87"/>
  <c r="AQ143" i="87"/>
  <c r="AQ138" i="87"/>
  <c r="AQ125" i="87"/>
  <c r="AQ131" i="87"/>
  <c r="AQ150" i="87"/>
  <c r="AQ129" i="87"/>
  <c r="AQ136" i="87"/>
  <c r="AQ134" i="87"/>
  <c r="AQ141" i="87"/>
  <c r="AG24" i="87"/>
  <c r="AH24" i="87"/>
  <c r="BF19" i="86"/>
  <c r="BF11" i="86"/>
  <c r="BF20" i="86"/>
  <c r="BF16" i="86"/>
  <c r="J25" i="86"/>
  <c r="BF17" i="86"/>
  <c r="BF23" i="86"/>
  <c r="BF6" i="86"/>
  <c r="J34" i="86"/>
  <c r="AE23" i="86"/>
  <c r="BF14" i="86"/>
  <c r="BF9" i="86"/>
  <c r="J27" i="86"/>
  <c r="BF21" i="86"/>
  <c r="BF10" i="86"/>
  <c r="BF5" i="86"/>
  <c r="BF8" i="86"/>
  <c r="BF7" i="86"/>
  <c r="BF18" i="86"/>
  <c r="BF15" i="86"/>
  <c r="BM8" i="85"/>
  <c r="BD21" i="86"/>
  <c r="BI8" i="85"/>
  <c r="AM22" i="85"/>
  <c r="AL22" i="85"/>
  <c r="BG22" i="85"/>
  <c r="AC146" i="87"/>
  <c r="AI176" i="87"/>
  <c r="BC150" i="87"/>
  <c r="BD150" i="87"/>
  <c r="BD114" i="87"/>
  <c r="BE114" i="87"/>
  <c r="AY45" i="87"/>
  <c r="Y176" i="87"/>
  <c r="AC86" i="87"/>
  <c r="AB82" i="87" l="1"/>
  <c r="AQ27" i="85"/>
  <c r="AQ34" i="86"/>
  <c r="K34" i="85"/>
  <c r="BE25" i="85"/>
  <c r="AG9" i="85"/>
  <c r="L12" i="85"/>
  <c r="AF19" i="87"/>
  <c r="AD82" i="87"/>
  <c r="AG20" i="85"/>
  <c r="L21" i="85"/>
  <c r="I34" i="85"/>
  <c r="BC25" i="85"/>
  <c r="AG5" i="85"/>
  <c r="L8" i="85"/>
  <c r="AG8" i="85" s="1"/>
  <c r="L24" i="85"/>
  <c r="L26" i="85"/>
  <c r="BC109" i="87"/>
  <c r="AD176" i="87"/>
  <c r="AB167" i="87"/>
  <c r="F169" i="87"/>
  <c r="AB84" i="87"/>
  <c r="AE176" i="87"/>
  <c r="AI139" i="87"/>
  <c r="L17" i="85"/>
  <c r="AG17" i="85" s="1"/>
  <c r="AG16" i="85"/>
  <c r="BQ20" i="86"/>
  <c r="BR20" i="86"/>
  <c r="BR7" i="86"/>
  <c r="BQ7" i="86"/>
  <c r="AW25" i="69"/>
  <c r="F34" i="69"/>
  <c r="Y25" i="69"/>
  <c r="BD109" i="87"/>
  <c r="BE109" i="87"/>
  <c r="Q8" i="69"/>
  <c r="AN8" i="69" s="1"/>
  <c r="Q26" i="69"/>
  <c r="AN5" i="69"/>
  <c r="BJ25" i="86"/>
  <c r="N36" i="86"/>
  <c r="AM25" i="86"/>
  <c r="AQ31" i="69"/>
  <c r="AP31" i="69"/>
  <c r="G34" i="69"/>
  <c r="AX25" i="69"/>
  <c r="Z25" i="69"/>
  <c r="AK25" i="69"/>
  <c r="BE25" i="69"/>
  <c r="N34" i="69"/>
  <c r="AD172" i="87"/>
  <c r="AE172" i="87"/>
  <c r="AE82" i="87"/>
  <c r="AE180" i="87"/>
  <c r="AS33" i="85"/>
  <c r="AR33" i="85"/>
  <c r="O36" i="69"/>
  <c r="BF27" i="69"/>
  <c r="AL27" i="69"/>
  <c r="H36" i="69"/>
  <c r="AA27" i="69"/>
  <c r="H38" i="86"/>
  <c r="AC27" i="86"/>
  <c r="BI14" i="69"/>
  <c r="BI9" i="69"/>
  <c r="BI23" i="69"/>
  <c r="BI12" i="69"/>
  <c r="BI17" i="69"/>
  <c r="BI7" i="69"/>
  <c r="BI16" i="69"/>
  <c r="BI19" i="69"/>
  <c r="AP23" i="69"/>
  <c r="BI10" i="69"/>
  <c r="BI20" i="69"/>
  <c r="S32" i="69"/>
  <c r="BI21" i="69"/>
  <c r="S27" i="69"/>
  <c r="BI5" i="69"/>
  <c r="BI11" i="69"/>
  <c r="BI15" i="69"/>
  <c r="BI18" i="69"/>
  <c r="BI6" i="69"/>
  <c r="BI22" i="69"/>
  <c r="BR22" i="86"/>
  <c r="BQ22" i="86"/>
  <c r="M36" i="85"/>
  <c r="BG27" i="85"/>
  <c r="AL27" i="85"/>
  <c r="Z180" i="87"/>
  <c r="AA180" i="87"/>
  <c r="G36" i="85"/>
  <c r="AB27" i="85"/>
  <c r="J38" i="86"/>
  <c r="AE27" i="86"/>
  <c r="AE25" i="86"/>
  <c r="BF25" i="86"/>
  <c r="J36" i="86"/>
  <c r="BR18" i="86"/>
  <c r="BQ18" i="86"/>
  <c r="BQ11" i="86"/>
  <c r="BR11" i="86"/>
  <c r="BR9" i="86"/>
  <c r="BQ9" i="86"/>
  <c r="BO16" i="86"/>
  <c r="BO8" i="86"/>
  <c r="U23" i="86"/>
  <c r="U28" i="86" s="1"/>
  <c r="BO14" i="86"/>
  <c r="BO10" i="86"/>
  <c r="BO15" i="86"/>
  <c r="S34" i="86"/>
  <c r="AU23" i="86"/>
  <c r="V23" i="86" s="1"/>
  <c r="BO6" i="86"/>
  <c r="S27" i="86"/>
  <c r="BO5" i="86"/>
  <c r="BO19" i="86"/>
  <c r="AR23" i="86"/>
  <c r="BO7" i="86"/>
  <c r="BO18" i="86"/>
  <c r="BO23" i="86"/>
  <c r="BO17" i="86"/>
  <c r="BO20" i="86"/>
  <c r="BO11" i="86"/>
  <c r="BO9" i="86"/>
  <c r="BO21" i="86"/>
  <c r="L24" i="69"/>
  <c r="L26" i="69"/>
  <c r="L8" i="69"/>
  <c r="AE8" i="69" s="1"/>
  <c r="AE5" i="69"/>
  <c r="AN20" i="69"/>
  <c r="Q21" i="69"/>
  <c r="AA25" i="85"/>
  <c r="AZ25" i="85"/>
  <c r="F34" i="85"/>
  <c r="J36" i="69"/>
  <c r="AC27" i="69"/>
  <c r="AP32" i="69"/>
  <c r="AQ32" i="69"/>
  <c r="AE27" i="85"/>
  <c r="J36" i="85"/>
  <c r="AF27" i="85"/>
  <c r="BD49" i="87"/>
  <c r="BE49" i="87"/>
  <c r="AJ27" i="69"/>
  <c r="M36" i="69"/>
  <c r="AG27" i="69"/>
  <c r="BD27" i="69"/>
  <c r="AH27" i="69"/>
  <c r="AF27" i="69"/>
  <c r="AI27" i="69"/>
  <c r="F38" i="86"/>
  <c r="AA27" i="86"/>
  <c r="S11" i="85"/>
  <c r="AR11" i="85" s="1"/>
  <c r="S9" i="85"/>
  <c r="S16" i="85"/>
  <c r="S18" i="85"/>
  <c r="AR18" i="85" s="1"/>
  <c r="Q23" i="86"/>
  <c r="S5" i="85"/>
  <c r="R28" i="86"/>
  <c r="S20" i="85"/>
  <c r="S10" i="85"/>
  <c r="AR10" i="85" s="1"/>
  <c r="S32" i="85"/>
  <c r="S15" i="85"/>
  <c r="AR15" i="85" s="1"/>
  <c r="S14" i="85"/>
  <c r="AR14" i="85" s="1"/>
  <c r="S6" i="85"/>
  <c r="AR6" i="85" s="1"/>
  <c r="S19" i="85"/>
  <c r="AR19" i="85" s="1"/>
  <c r="S7" i="85"/>
  <c r="AR7" i="85" s="1"/>
  <c r="AK19" i="87"/>
  <c r="AL19" i="87"/>
  <c r="AY25" i="69"/>
  <c r="BC25" i="69" s="1"/>
  <c r="AA25" i="69"/>
  <c r="H34" i="69"/>
  <c r="AL109" i="87"/>
  <c r="AK109" i="87"/>
  <c r="BE139" i="87"/>
  <c r="BF139" i="87"/>
  <c r="AG19" i="87"/>
  <c r="AH19" i="87"/>
  <c r="AG16" i="86"/>
  <c r="L17" i="86"/>
  <c r="AG17" i="86" s="1"/>
  <c r="AM32" i="69"/>
  <c r="AL33" i="69"/>
  <c r="AO33" i="69" s="1"/>
  <c r="BO26" i="86"/>
  <c r="BQ6" i="86"/>
  <c r="BR6" i="86"/>
  <c r="BK25" i="86"/>
  <c r="BM25" i="86" s="1"/>
  <c r="O36" i="86"/>
  <c r="AN25" i="86"/>
  <c r="AE9" i="69"/>
  <c r="L12" i="69"/>
  <c r="AE16" i="69"/>
  <c r="L17" i="69"/>
  <c r="AE17" i="69" s="1"/>
  <c r="Q17" i="69"/>
  <c r="AN17" i="69" s="1"/>
  <c r="AN16" i="69"/>
  <c r="AQ27" i="69"/>
  <c r="T36" i="69"/>
  <c r="BJ27" i="69"/>
  <c r="AR34" i="86"/>
  <c r="AS34" i="86"/>
  <c r="Y79" i="87"/>
  <c r="Z79" i="87"/>
  <c r="AE84" i="87"/>
  <c r="AF25" i="69"/>
  <c r="AG25" i="69"/>
  <c r="M34" i="69"/>
  <c r="AJ25" i="69"/>
  <c r="AH25" i="69"/>
  <c r="AI25" i="69"/>
  <c r="BD25" i="69"/>
  <c r="Q13" i="85"/>
  <c r="AP13" i="85" s="1"/>
  <c r="AP12" i="85"/>
  <c r="AG180" i="87"/>
  <c r="AP13" i="69"/>
  <c r="BI13" i="69"/>
  <c r="BE25" i="86"/>
  <c r="AD25" i="86"/>
  <c r="I36" i="86"/>
  <c r="Y174" i="87"/>
  <c r="Z174" i="87"/>
  <c r="AA174" i="87"/>
  <c r="BR23" i="86"/>
  <c r="BQ23" i="86"/>
  <c r="BR14" i="86"/>
  <c r="BQ14" i="86"/>
  <c r="BQ19" i="86"/>
  <c r="BR19" i="86"/>
  <c r="Q27" i="85"/>
  <c r="Q36" i="85" s="1"/>
  <c r="Q35" i="85"/>
  <c r="F36" i="85"/>
  <c r="AA27" i="85"/>
  <c r="BJ27" i="86"/>
  <c r="N38" i="86"/>
  <c r="AM27" i="86"/>
  <c r="AO27" i="86"/>
  <c r="P38" i="86"/>
  <c r="BL27" i="86"/>
  <c r="BM27" i="86" s="1"/>
  <c r="BG27" i="69"/>
  <c r="BH27" i="69" s="1"/>
  <c r="AM27" i="69"/>
  <c r="P36" i="69"/>
  <c r="AI169" i="87"/>
  <c r="AJ169" i="87"/>
  <c r="AG49" i="87"/>
  <c r="AS34" i="85"/>
  <c r="AR34" i="85"/>
  <c r="AK25" i="86"/>
  <c r="BI25" i="86"/>
  <c r="AJ25" i="86"/>
  <c r="AI25" i="86"/>
  <c r="AL25" i="86"/>
  <c r="AH25" i="86"/>
  <c r="M36" i="86"/>
  <c r="AG174" i="87"/>
  <c r="L8" i="86"/>
  <c r="AG8" i="86" s="1"/>
  <c r="L26" i="86"/>
  <c r="L24" i="86"/>
  <c r="AG5" i="86"/>
  <c r="L12" i="86"/>
  <c r="AG9" i="86"/>
  <c r="BI25" i="85"/>
  <c r="O34" i="85"/>
  <c r="AN25" i="85"/>
  <c r="BM27" i="85"/>
  <c r="T36" i="85"/>
  <c r="AS27" i="85"/>
  <c r="E169" i="87"/>
  <c r="Z167" i="87"/>
  <c r="AA167" i="87"/>
  <c r="BR10" i="86"/>
  <c r="BQ10" i="86"/>
  <c r="BR17" i="86"/>
  <c r="BQ17" i="86"/>
  <c r="AB27" i="69"/>
  <c r="I36" i="69"/>
  <c r="AN9" i="69"/>
  <c r="Q12" i="69"/>
  <c r="AD77" i="87"/>
  <c r="I79" i="87"/>
  <c r="AD79" i="87" s="1"/>
  <c r="H36" i="85"/>
  <c r="AC27" i="85"/>
  <c r="AD27" i="85"/>
  <c r="AF167" i="87"/>
  <c r="K169" i="87"/>
  <c r="AF169" i="87" s="1"/>
  <c r="AO34" i="86"/>
  <c r="AN35" i="86"/>
  <c r="AQ35" i="86" s="1"/>
  <c r="AK27" i="69"/>
  <c r="BE27" i="69"/>
  <c r="N36" i="69"/>
  <c r="U21" i="86"/>
  <c r="AT21" i="86" s="1"/>
  <c r="AR32" i="85"/>
  <c r="AS32" i="85"/>
  <c r="AD25" i="69"/>
  <c r="BB25" i="69"/>
  <c r="K34" i="69"/>
  <c r="AB27" i="86"/>
  <c r="G38" i="86"/>
  <c r="AG172" i="87"/>
  <c r="G34" i="85"/>
  <c r="BA25" i="85"/>
  <c r="AB25" i="85"/>
  <c r="BQ15" i="86"/>
  <c r="BR15" i="86"/>
  <c r="O38" i="86"/>
  <c r="BK27" i="86"/>
  <c r="AN27" i="86"/>
  <c r="AR13" i="86"/>
  <c r="AU13" i="86"/>
  <c r="BO13" i="86"/>
  <c r="BB25" i="85"/>
  <c r="BF25" i="85" s="1"/>
  <c r="H34" i="85"/>
  <c r="AC25" i="85"/>
  <c r="AD25" i="85"/>
  <c r="AF25" i="86"/>
  <c r="BG25" i="86"/>
  <c r="K36" i="86"/>
  <c r="AS33" i="86"/>
  <c r="AR33" i="86"/>
  <c r="R32" i="69"/>
  <c r="R11" i="69"/>
  <c r="AO11" i="69" s="1"/>
  <c r="R14" i="69"/>
  <c r="AO14" i="69" s="1"/>
  <c r="R19" i="69"/>
  <c r="AO19" i="69" s="1"/>
  <c r="R20" i="69"/>
  <c r="R9" i="69"/>
  <c r="R10" i="69"/>
  <c r="AO10" i="69" s="1"/>
  <c r="R16" i="69"/>
  <c r="R7" i="69"/>
  <c r="AO7" i="69" s="1"/>
  <c r="R6" i="69"/>
  <c r="AO6" i="69" s="1"/>
  <c r="R15" i="69"/>
  <c r="AO15" i="69" s="1"/>
  <c r="R5" i="69"/>
  <c r="R18" i="69"/>
  <c r="AO18" i="69" s="1"/>
  <c r="AE86" i="87"/>
  <c r="AA77" i="87"/>
  <c r="F79" i="87"/>
  <c r="AA79" i="87" s="1"/>
  <c r="K36" i="69"/>
  <c r="AD27" i="69"/>
  <c r="X172" i="87"/>
  <c r="Y172" i="87"/>
  <c r="AB86" i="87"/>
  <c r="AG176" i="87"/>
  <c r="AH180" i="87"/>
  <c r="BG25" i="85"/>
  <c r="M34" i="85"/>
  <c r="AL25" i="85"/>
  <c r="Z172" i="87"/>
  <c r="AA172" i="87"/>
  <c r="BD19" i="87"/>
  <c r="BE19" i="87"/>
  <c r="BQ16" i="86"/>
  <c r="BR16" i="86"/>
  <c r="BR5" i="86"/>
  <c r="BQ5" i="86"/>
  <c r="BO12" i="86"/>
  <c r="AE20" i="69"/>
  <c r="L21" i="69"/>
  <c r="AC79" i="87"/>
  <c r="R16" i="86"/>
  <c r="R19" i="86"/>
  <c r="R14" i="86"/>
  <c r="R18" i="86"/>
  <c r="R15" i="86"/>
  <c r="R7" i="86"/>
  <c r="R10" i="86"/>
  <c r="R11" i="86"/>
  <c r="R6" i="86"/>
  <c r="R20" i="86"/>
  <c r="BN23" i="86"/>
  <c r="R9" i="86"/>
  <c r="R34" i="86"/>
  <c r="R5" i="86"/>
  <c r="AE77" i="87"/>
  <c r="J79" i="87"/>
  <c r="F36" i="86"/>
  <c r="AA25" i="86"/>
  <c r="BB25" i="86"/>
  <c r="BF25" i="69"/>
  <c r="BH25" i="69" s="1"/>
  <c r="AL25" i="69"/>
  <c r="O34" i="69"/>
  <c r="M38" i="86"/>
  <c r="AJ27" i="86"/>
  <c r="BI27" i="86"/>
  <c r="AK27" i="86"/>
  <c r="AI27" i="86"/>
  <c r="AL27" i="86"/>
  <c r="AH27" i="86"/>
  <c r="AG167" i="87"/>
  <c r="L169" i="87"/>
  <c r="BR13" i="86"/>
  <c r="BQ13" i="86"/>
  <c r="AE174" i="87"/>
  <c r="BI27" i="85"/>
  <c r="AN27" i="85"/>
  <c r="O36" i="85"/>
  <c r="Z176" i="87"/>
  <c r="AA176" i="87"/>
  <c r="AN33" i="85"/>
  <c r="AO32" i="85"/>
  <c r="AC167" i="87"/>
  <c r="H169" i="87"/>
  <c r="BR12" i="86"/>
  <c r="BQ12" i="86"/>
  <c r="BP27" i="86"/>
  <c r="T38" i="86"/>
  <c r="AS27" i="86"/>
  <c r="F36" i="69"/>
  <c r="Y27" i="69"/>
  <c r="AZ25" i="69"/>
  <c r="I34" i="69"/>
  <c r="AB25" i="69"/>
  <c r="K38" i="86"/>
  <c r="AF27" i="86"/>
  <c r="AC25" i="69"/>
  <c r="BA25" i="69"/>
  <c r="J34" i="69"/>
  <c r="G36" i="69"/>
  <c r="Z27" i="69"/>
  <c r="BD25" i="85"/>
  <c r="AE25" i="85"/>
  <c r="J34" i="85"/>
  <c r="AF25" i="85"/>
  <c r="I169" i="87"/>
  <c r="AD167" i="87"/>
  <c r="AE167" i="87"/>
  <c r="AE90" i="87"/>
  <c r="AH169" i="87"/>
  <c r="AO27" i="85"/>
  <c r="BJ27" i="85"/>
  <c r="P36" i="85"/>
  <c r="AR31" i="85"/>
  <c r="AS31" i="85"/>
  <c r="C169" i="87"/>
  <c r="X167" i="87"/>
  <c r="Y167" i="87"/>
  <c r="BC25" i="86"/>
  <c r="G36" i="86"/>
  <c r="AB25" i="86"/>
  <c r="AP21" i="85"/>
  <c r="Q22" i="85"/>
  <c r="AP22" i="85" s="1"/>
  <c r="AC25" i="86"/>
  <c r="H36" i="86"/>
  <c r="BD25" i="86"/>
  <c r="BH25" i="86" s="1"/>
  <c r="BI8" i="69"/>
  <c r="AG20" i="86"/>
  <c r="L21" i="86"/>
  <c r="I38" i="86"/>
  <c r="AD27" i="86"/>
  <c r="BO22" i="86"/>
  <c r="AB90" i="87"/>
  <c r="AG169" i="87" l="1"/>
  <c r="U8" i="86"/>
  <c r="AT8" i="86" s="1"/>
  <c r="AB79" i="87"/>
  <c r="L25" i="85"/>
  <c r="L33" i="85"/>
  <c r="AG24" i="85"/>
  <c r="AG12" i="85"/>
  <c r="L13" i="85"/>
  <c r="AG13" i="85" s="1"/>
  <c r="AE79" i="87"/>
  <c r="L35" i="85"/>
  <c r="AG26" i="85"/>
  <c r="L27" i="85"/>
  <c r="AG21" i="85"/>
  <c r="L22" i="85"/>
  <c r="AG22" i="85" s="1"/>
  <c r="V28" i="86"/>
  <c r="V21" i="86"/>
  <c r="V8" i="86"/>
  <c r="AR35" i="86"/>
  <c r="AS35" i="86"/>
  <c r="BN7" i="86"/>
  <c r="AQ7" i="86"/>
  <c r="V17" i="86"/>
  <c r="U17" i="86"/>
  <c r="AT17" i="86" s="1"/>
  <c r="L13" i="86"/>
  <c r="AG13" i="86" s="1"/>
  <c r="AG12" i="86"/>
  <c r="U19" i="86"/>
  <c r="AT19" i="86" s="1"/>
  <c r="V19" i="86"/>
  <c r="Q14" i="86"/>
  <c r="AP14" i="86" s="1"/>
  <c r="Q18" i="86"/>
  <c r="AP18" i="86" s="1"/>
  <c r="Q19" i="86"/>
  <c r="AP19" i="86" s="1"/>
  <c r="Q16" i="86"/>
  <c r="Q15" i="86"/>
  <c r="AP15" i="86" s="1"/>
  <c r="Q9" i="86"/>
  <c r="Q34" i="86"/>
  <c r="Q6" i="86"/>
  <c r="AP6" i="86" s="1"/>
  <c r="Q11" i="86"/>
  <c r="AP11" i="86" s="1"/>
  <c r="Q10" i="86"/>
  <c r="AP10" i="86" s="1"/>
  <c r="Q7" i="86"/>
  <c r="AP7" i="86" s="1"/>
  <c r="Q5" i="86"/>
  <c r="Q20" i="86"/>
  <c r="AE24" i="69"/>
  <c r="L25" i="69"/>
  <c r="L33" i="69"/>
  <c r="AQ9" i="86"/>
  <c r="R12" i="86"/>
  <c r="BN9" i="86"/>
  <c r="AQ15" i="86"/>
  <c r="BN15" i="86"/>
  <c r="V5" i="86"/>
  <c r="U5" i="86"/>
  <c r="AT5" i="86" s="1"/>
  <c r="AO9" i="69"/>
  <c r="R12" i="69"/>
  <c r="U15" i="86"/>
  <c r="AT15" i="86" s="1"/>
  <c r="V15" i="86"/>
  <c r="V14" i="86"/>
  <c r="U14" i="86"/>
  <c r="AT14" i="86" s="1"/>
  <c r="V9" i="86"/>
  <c r="U9" i="86"/>
  <c r="AT9" i="86" s="1"/>
  <c r="V13" i="86"/>
  <c r="U13" i="86"/>
  <c r="AT13" i="86" s="1"/>
  <c r="BN18" i="86"/>
  <c r="AQ18" i="86"/>
  <c r="AO20" i="69"/>
  <c r="R21" i="69"/>
  <c r="AO35" i="86"/>
  <c r="AN36" i="86"/>
  <c r="U10" i="86"/>
  <c r="AT10" i="86" s="1"/>
  <c r="V10" i="86"/>
  <c r="L25" i="86"/>
  <c r="L35" i="86"/>
  <c r="AG24" i="86"/>
  <c r="AR16" i="85"/>
  <c r="S17" i="85"/>
  <c r="AR17" i="85" s="1"/>
  <c r="AN34" i="85"/>
  <c r="AO33" i="85"/>
  <c r="BN20" i="86"/>
  <c r="AQ20" i="86"/>
  <c r="R21" i="86"/>
  <c r="BN14" i="86"/>
  <c r="AQ14" i="86"/>
  <c r="AO5" i="69"/>
  <c r="R8" i="69"/>
  <c r="AO8" i="69" s="1"/>
  <c r="R26" i="69"/>
  <c r="L37" i="86"/>
  <c r="AG26" i="86"/>
  <c r="L27" i="86"/>
  <c r="U6" i="86"/>
  <c r="AT6" i="86" s="1"/>
  <c r="V6" i="86"/>
  <c r="AR9" i="85"/>
  <c r="S12" i="85"/>
  <c r="AN21" i="69"/>
  <c r="Q22" i="69"/>
  <c r="AN22" i="69" s="1"/>
  <c r="BN6" i="86"/>
  <c r="AQ6" i="86"/>
  <c r="AQ19" i="86"/>
  <c r="BN19" i="86"/>
  <c r="U16" i="86"/>
  <c r="AT16" i="86" s="1"/>
  <c r="V16" i="86"/>
  <c r="AN12" i="69"/>
  <c r="Q13" i="69"/>
  <c r="AN13" i="69" s="1"/>
  <c r="AR20" i="85"/>
  <c r="S21" i="85"/>
  <c r="V11" i="86"/>
  <c r="U11" i="86"/>
  <c r="AT11" i="86" s="1"/>
  <c r="U7" i="86"/>
  <c r="AT7" i="86" s="1"/>
  <c r="V7" i="86"/>
  <c r="BN11" i="86"/>
  <c r="AQ11" i="86"/>
  <c r="AQ16" i="86"/>
  <c r="R17" i="86"/>
  <c r="BN16" i="86"/>
  <c r="AE12" i="69"/>
  <c r="L13" i="69"/>
  <c r="AE13" i="69" s="1"/>
  <c r="AM33" i="69"/>
  <c r="AL34" i="69"/>
  <c r="U18" i="86"/>
  <c r="AT18" i="86" s="1"/>
  <c r="V18" i="86"/>
  <c r="V22" i="86"/>
  <c r="U22" i="86"/>
  <c r="AT22" i="86" s="1"/>
  <c r="BI27" i="69"/>
  <c r="S36" i="69"/>
  <c r="AP27" i="69"/>
  <c r="Q27" i="69"/>
  <c r="Q36" i="69" s="1"/>
  <c r="Q35" i="69"/>
  <c r="AG21" i="86"/>
  <c r="L22" i="86"/>
  <c r="AG22" i="86" s="1"/>
  <c r="U12" i="86"/>
  <c r="AT12" i="86" s="1"/>
  <c r="V12" i="86"/>
  <c r="AE21" i="69"/>
  <c r="L22" i="69"/>
  <c r="AE22" i="69" s="1"/>
  <c r="S8" i="85"/>
  <c r="AR8" i="85" s="1"/>
  <c r="AR5" i="85"/>
  <c r="S26" i="85"/>
  <c r="AQ5" i="86"/>
  <c r="BN5" i="86"/>
  <c r="R8" i="86"/>
  <c r="R26" i="86"/>
  <c r="BN10" i="86"/>
  <c r="AQ10" i="86"/>
  <c r="AO16" i="69"/>
  <c r="R17" i="69"/>
  <c r="AO17" i="69" s="1"/>
  <c r="AP33" i="69"/>
  <c r="AQ33" i="69"/>
  <c r="L35" i="69"/>
  <c r="AE26" i="69"/>
  <c r="L27" i="69"/>
  <c r="S38" i="86"/>
  <c r="AR27" i="86"/>
  <c r="BO27" i="86"/>
  <c r="V20" i="86"/>
  <c r="U20" i="86"/>
  <c r="AT20" i="86" s="1"/>
  <c r="L36" i="85" l="1"/>
  <c r="AG27" i="85"/>
  <c r="L34" i="85"/>
  <c r="AG25" i="85"/>
  <c r="S35" i="85"/>
  <c r="AR26" i="85"/>
  <c r="S27" i="85"/>
  <c r="L36" i="86"/>
  <c r="AG25" i="86"/>
  <c r="BN12" i="86"/>
  <c r="AQ12" i="86"/>
  <c r="R13" i="86"/>
  <c r="R13" i="69"/>
  <c r="AO13" i="69" s="1"/>
  <c r="AO12" i="69"/>
  <c r="AL35" i="69"/>
  <c r="AM34" i="69"/>
  <c r="AO34" i="69"/>
  <c r="R35" i="69"/>
  <c r="AO26" i="69"/>
  <c r="R27" i="69"/>
  <c r="AE27" i="69"/>
  <c r="L36" i="69"/>
  <c r="AR12" i="85"/>
  <c r="S13" i="85"/>
  <c r="AR13" i="85" s="1"/>
  <c r="AN35" i="85"/>
  <c r="AO34" i="85"/>
  <c r="AO36" i="86"/>
  <c r="AN37" i="86"/>
  <c r="AQ36" i="86"/>
  <c r="AE25" i="69"/>
  <c r="L34" i="69"/>
  <c r="AQ8" i="86"/>
  <c r="BN8" i="86"/>
  <c r="R22" i="69"/>
  <c r="AO22" i="69" s="1"/>
  <c r="AO21" i="69"/>
  <c r="AP20" i="86"/>
  <c r="Q21" i="86"/>
  <c r="Q12" i="86"/>
  <c r="AP9" i="86"/>
  <c r="Q8" i="86"/>
  <c r="AP8" i="86" s="1"/>
  <c r="AP5" i="86"/>
  <c r="Q26" i="86"/>
  <c r="AQ26" i="86"/>
  <c r="R37" i="86"/>
  <c r="R27" i="86"/>
  <c r="AQ17" i="86"/>
  <c r="BN17" i="86"/>
  <c r="AR21" i="85"/>
  <c r="S22" i="85"/>
  <c r="AR22" i="85" s="1"/>
  <c r="AG27" i="86"/>
  <c r="L38" i="86"/>
  <c r="BN21" i="86"/>
  <c r="AQ21" i="86"/>
  <c r="R22" i="86"/>
  <c r="AP16" i="86"/>
  <c r="Q17" i="86"/>
  <c r="AP17" i="86" s="1"/>
  <c r="AN38" i="86" l="1"/>
  <c r="AO37" i="86"/>
  <c r="AQ37" i="86"/>
  <c r="AO27" i="69"/>
  <c r="R36" i="69"/>
  <c r="BN13" i="86"/>
  <c r="AQ13" i="86"/>
  <c r="Q37" i="86"/>
  <c r="Q27" i="86"/>
  <c r="Q38" i="86" s="1"/>
  <c r="AN36" i="85"/>
  <c r="AO35" i="85"/>
  <c r="AQ35" i="85"/>
  <c r="AQ34" i="69"/>
  <c r="AP34" i="69"/>
  <c r="AL36" i="69"/>
  <c r="AM35" i="69"/>
  <c r="AO35" i="69"/>
  <c r="AR27" i="85"/>
  <c r="S36" i="85"/>
  <c r="AQ22" i="86"/>
  <c r="BN22" i="86"/>
  <c r="AP12" i="86"/>
  <c r="Q13" i="86"/>
  <c r="AP13" i="86" s="1"/>
  <c r="AQ27" i="86"/>
  <c r="R38" i="86"/>
  <c r="AP21" i="86"/>
  <c r="Q22" i="86"/>
  <c r="AP22" i="86" s="1"/>
  <c r="AR36" i="86"/>
  <c r="AS36" i="86"/>
  <c r="AM36" i="69" l="1"/>
  <c r="AL37" i="69"/>
  <c r="AO36" i="69"/>
  <c r="AS35" i="85"/>
  <c r="AR35" i="85"/>
  <c r="AS37" i="86"/>
  <c r="AR37" i="86"/>
  <c r="AN37" i="85"/>
  <c r="AO36" i="85"/>
  <c r="AQ36" i="85"/>
  <c r="AP35" i="69"/>
  <c r="AQ35" i="69"/>
  <c r="AO38" i="86"/>
  <c r="AN39" i="86"/>
  <c r="AQ38" i="86"/>
  <c r="AO37" i="85" l="1"/>
  <c r="AQ37" i="85"/>
  <c r="AS38" i="86"/>
  <c r="AR38" i="86"/>
  <c r="AP36" i="69"/>
  <c r="AQ36" i="69"/>
  <c r="AS36" i="85"/>
  <c r="AR36" i="85"/>
  <c r="AM37" i="69"/>
  <c r="AO37" i="69"/>
  <c r="AO39" i="86"/>
  <c r="AQ39" i="86"/>
  <c r="AS39" i="86" l="1"/>
  <c r="AR39" i="86"/>
  <c r="AS37" i="85"/>
  <c r="AR37" i="85"/>
  <c r="AP37" i="69"/>
  <c r="AQ37" i="69"/>
</calcChain>
</file>

<file path=xl/sharedStrings.xml><?xml version="1.0" encoding="utf-8"?>
<sst xmlns="http://schemas.openxmlformats.org/spreadsheetml/2006/main" count="1032" uniqueCount="237">
  <si>
    <t>การส่งออก</t>
  </si>
  <si>
    <t>อัตราขยายตัว</t>
  </si>
  <si>
    <t>มูลค่า : ล้านบาท</t>
  </si>
  <si>
    <t>หน่วย : ร้อยละ</t>
  </si>
  <si>
    <t>มค</t>
  </si>
  <si>
    <t>กพ</t>
  </si>
  <si>
    <t>มค-กพ</t>
  </si>
  <si>
    <t>มีค</t>
  </si>
  <si>
    <t>Q1</t>
  </si>
  <si>
    <t xml:space="preserve"> </t>
  </si>
  <si>
    <t>เมย</t>
  </si>
  <si>
    <t>มค-เมย</t>
  </si>
  <si>
    <t>พค</t>
  </si>
  <si>
    <t>มค-พค</t>
  </si>
  <si>
    <t>มิย</t>
  </si>
  <si>
    <t>Q2</t>
  </si>
  <si>
    <t>H1</t>
  </si>
  <si>
    <t>กค</t>
  </si>
  <si>
    <t>สค.</t>
  </si>
  <si>
    <t>มค-กค</t>
  </si>
  <si>
    <t>สค</t>
  </si>
  <si>
    <t>มค-สค</t>
  </si>
  <si>
    <t>กย</t>
  </si>
  <si>
    <t>Q3</t>
  </si>
  <si>
    <t>มค-กย</t>
  </si>
  <si>
    <t>ตค</t>
  </si>
  <si>
    <t>มค-ตค</t>
  </si>
  <si>
    <t>พย</t>
  </si>
  <si>
    <t>มค-พย</t>
  </si>
  <si>
    <t>ธค</t>
  </si>
  <si>
    <t>Q4</t>
  </si>
  <si>
    <t>H2</t>
  </si>
  <si>
    <t>มค-ธค</t>
  </si>
  <si>
    <t>การนำเข้า</t>
  </si>
  <si>
    <t xml:space="preserve">  </t>
  </si>
  <si>
    <t xml:space="preserve">   </t>
  </si>
  <si>
    <t>ดุลการค้า</t>
  </si>
  <si>
    <t>มูลค่า : ล้านเหรียญสหรัฐ</t>
  </si>
  <si>
    <t>ที่มา : ศูนย์เทคโนโลยีสารสนเทศและการสื่อสาร สำนักงานปลัดกระทรวงพาณิชย์</t>
  </si>
  <si>
    <t>อัตราขยายตัว (ร้อยละ)</t>
  </si>
  <si>
    <t>สัดส่วน (ร้อยละ)</t>
  </si>
  <si>
    <t>ม.ค.-ธ.ค.</t>
  </si>
  <si>
    <t>มูลค่าส่งออกรวม</t>
  </si>
  <si>
    <t>1  สินค้าเกษตร/อุตสาหกรรมเกษตร</t>
  </si>
  <si>
    <t xml:space="preserve">      สินค้าเกษตรกรรม</t>
  </si>
  <si>
    <t xml:space="preserve">      สินค้าอุตสาหกรรมการเกษตร</t>
  </si>
  <si>
    <t xml:space="preserve">    1.1  ข้าว</t>
  </si>
  <si>
    <t xml:space="preserve">                   ปริมาณ:เมตริกตัน</t>
  </si>
  <si>
    <t xml:space="preserve">    1.2  ยางพารา</t>
  </si>
  <si>
    <t xml:space="preserve">    1.3  ผลิตภัณฑ์มันสำปะหลัง</t>
  </si>
  <si>
    <t xml:space="preserve">    1.4  อาหาร</t>
  </si>
  <si>
    <t xml:space="preserve">          1.4.1  อาหารทะเล  แช่เย็น  แช่แข็ง  กระป๋องและแปรรูป</t>
  </si>
  <si>
    <t xml:space="preserve">                            -  ทูน่ากระป๋อง</t>
  </si>
  <si>
    <t xml:space="preserve">                  1.4.1.2  กุ้งสดแช่แข็งและกุ้งแปรรูป</t>
  </si>
  <si>
    <t xml:space="preserve">          1.4.2  ผลไม้สด  ผักสด  แช่เย็น  แช่แข็ง  แห้ง  กระป๋องและแปรรูป</t>
  </si>
  <si>
    <t xml:space="preserve">          1.4.3  ไก่สดแช่เย็น  แช่แข็งและแปรรูป</t>
  </si>
  <si>
    <t xml:space="preserve">          1.4.4  สุกรสดแช่เย็นแช่แข็ง</t>
  </si>
  <si>
    <t xml:space="preserve">    1.5  อาหารสัตว์เลี้ยง</t>
  </si>
  <si>
    <t xml:space="preserve">          1.5.1  อาหารสุนัขและแมว</t>
  </si>
  <si>
    <t xml:space="preserve">    1.6  น้ำตาลทราย</t>
  </si>
  <si>
    <t>2  สินค้าอุตสาหกรรมสำคัญ</t>
  </si>
  <si>
    <t xml:space="preserve">    2.1  ยานพาหนะ  อุปกรณ์และส่วนประกอบ</t>
  </si>
  <si>
    <t xml:space="preserve">          2.1.1  ยานยนต์</t>
  </si>
  <si>
    <t xml:space="preserve">                        -  รถยนต์นั่ง</t>
  </si>
  <si>
    <t xml:space="preserve">                        -  รถปิ๊กอัพ  รถบัสและรถบรรทุก</t>
  </si>
  <si>
    <t xml:space="preserve">                        -  รถจักรยานยนต์</t>
  </si>
  <si>
    <t xml:space="preserve">                        -  รถจักรยาน</t>
  </si>
  <si>
    <t xml:space="preserve">          2.1.2  อุปกรณ์และส่วนประกอบ</t>
  </si>
  <si>
    <t xml:space="preserve">                        -  ส่วนประกอบและอุปกรณ์รถยนต์</t>
  </si>
  <si>
    <t xml:space="preserve">                        -  เครื่องยนต์สันดาปภายในแบบลูกสูบและส่วนประกอบ</t>
  </si>
  <si>
    <t xml:space="preserve">          2.1.3  ยานพาหนะอื่น  ๆ  และส่วนประกอบ</t>
  </si>
  <si>
    <t xml:space="preserve">    2.2  เครื่องอิเลคทรอนิกส์</t>
  </si>
  <si>
    <t xml:space="preserve">          2.2.1  เครื่องคอมพิวเตอร์  อุปกรณ์  และ  ส่วนประกอบ</t>
  </si>
  <si>
    <t xml:space="preserve">                        -  Hard  Disk  Drive</t>
  </si>
  <si>
    <t xml:space="preserve">          2.2.2  แผงวงจรไฟฟ้า</t>
  </si>
  <si>
    <t xml:space="preserve">          2.2.3  อุปกรณ์กึ่งตัวนำ  ทรานซิสเตอร์  และไดโอต</t>
  </si>
  <si>
    <t xml:space="preserve">          2.2.4  เครื่องอิเล็คทรอนิกส์อื่นๆ</t>
  </si>
  <si>
    <t xml:space="preserve">    2.3  เครื่องใช้ไฟฟ้า</t>
  </si>
  <si>
    <t xml:space="preserve">          2.3.1  เครื่องปรับอากาศและส่วนประกอบ</t>
  </si>
  <si>
    <t xml:space="preserve">          2.3.2  เครื่องรับวิทยุโทรทัศน์และส่วนประกอบ</t>
  </si>
  <si>
    <t xml:space="preserve">          2.3.3  ตู้เย็น  ตู้แช่แข็งและส่วนประกอบ</t>
  </si>
  <si>
    <t xml:space="preserve">          2.3.4  แผงสวิทซ์และแผงควบคุมกระแสไฟฟ้า</t>
  </si>
  <si>
    <t xml:space="preserve">    2.4  อัญมณีและเครื่องประดับ</t>
  </si>
  <si>
    <t xml:space="preserve">          -  ทองคำยังไม่ขึ้นรูป</t>
  </si>
  <si>
    <t xml:space="preserve">          -  อัญมณีและเครื่องประดับ  (ไม่รวมทองคำยังไม่ได้ขึ้นรูป)</t>
  </si>
  <si>
    <t xml:space="preserve">    2.5  เม็ดและผลิตภัณฑ์พลาสติก</t>
  </si>
  <si>
    <t xml:space="preserve">          2.5.1  เม็ดพลาสติก</t>
  </si>
  <si>
    <t xml:space="preserve">    2.6  วัสดุก่อสร้าง</t>
  </si>
  <si>
    <t xml:space="preserve">          -  เหล็ก  เหล็กกล้า  และผลิตภัณฑ์</t>
  </si>
  <si>
    <t xml:space="preserve">    2.7  สิ่งทอ</t>
  </si>
  <si>
    <t xml:space="preserve">    2.8  ผลิตภัณฑ์ยาง</t>
  </si>
  <si>
    <t xml:space="preserve">          -  ยางยานพาหนะ</t>
  </si>
  <si>
    <t xml:space="preserve">          -  ถุงมือยาง</t>
  </si>
  <si>
    <t xml:space="preserve">    2.9  เคมีภัณฑ์</t>
  </si>
  <si>
    <t xml:space="preserve">    2.10  เครื่องจักรกลและส่วนประกอบของเครื่องจักรกล</t>
  </si>
  <si>
    <t xml:space="preserve">    2.11  เครื่องสำอาง  สบู่  และผลิตภัณฑ์รักษาผิว</t>
  </si>
  <si>
    <t xml:space="preserve">    2.12  เฟอร์นิเจอร์และชิ้นส่วน</t>
  </si>
  <si>
    <t xml:space="preserve">    2.13  เครื่องมือแพทย์  อุปกรณ์และผลิตภัณฑ์เภสัชภัณฑ์</t>
  </si>
  <si>
    <t xml:space="preserve">    2.14  เครื่องใช้บนโต๊ะอาหาร  เครื่องครัว  และของใช้ในบ้านเรือน</t>
  </si>
  <si>
    <t xml:space="preserve">    2.15  หนังและผลิตภัณฑ์หนังฟอกและหนังอัด</t>
  </si>
  <si>
    <t>3  สินค้าแร่และเชื้อเพลิง</t>
  </si>
  <si>
    <t xml:space="preserve">    3.1  น้ำมันสำเร็จรูป</t>
  </si>
  <si>
    <t>4  สินค้าอื่นๆ  (ส่งออกรวม  -1  -2  -3)</t>
  </si>
  <si>
    <t>มูลค่า ( ล้านดอลลาร์สหรัฐ )</t>
  </si>
  <si>
    <t xml:space="preserve">          1.2.1  ยางแผ่น</t>
  </si>
  <si>
    <t xml:space="preserve">          1.2.2  ยางแท่ง</t>
  </si>
  <si>
    <t xml:space="preserve">                  -  ยางธรรมชาติที่กำหนดไว้ในทางเทคนิค</t>
  </si>
  <si>
    <t xml:space="preserve">                  -  ยางแท่งอื่นๆ</t>
  </si>
  <si>
    <t xml:space="preserve">          1.2.3  น้ำยางข้น</t>
  </si>
  <si>
    <t xml:space="preserve">          1.2.4  ยางพาราอื่นๆ</t>
  </si>
  <si>
    <t xml:space="preserve">          1.3.1  มันเม็ดและมันเส้น</t>
  </si>
  <si>
    <t xml:space="preserve">          1.3.2  แป้งมันสำปะหลัง</t>
  </si>
  <si>
    <t xml:space="preserve">                  1.4.1.1  อาหารทะเล  แช่เย็น  แช่แข็ง  กระป๋องและแปรรูป(ไม่รวมกุ้งแช่เย็น  แช่แข็งและแปรรูป)</t>
  </si>
  <si>
    <t xml:space="preserve">          1.4.5  เป็ดสดแช่เย็นแช่แข็ง</t>
  </si>
  <si>
    <t xml:space="preserve">          1.4.6  อาหารอื่น  ๆ</t>
  </si>
  <si>
    <t xml:space="preserve">          1.5.2  อาหารสัตว์อื่นๆ</t>
  </si>
  <si>
    <t xml:space="preserve">                        -  รถแวน</t>
  </si>
  <si>
    <t xml:space="preserve">                        -  ส่วนประกอบรถจักรยานยนต์</t>
  </si>
  <si>
    <t xml:space="preserve">                        -  เครื่องอุปกรณ์ไฟฟ้าสำหรับจุดระเบิดเครื่องยนต์  และส่วนประกอบ</t>
  </si>
  <si>
    <t xml:space="preserve">                        -  ส่วนประกอบรถจักรยาน</t>
  </si>
  <si>
    <t xml:space="preserve">          2.3.5  เครื่องใช้ไฟฟ้าอื่นๆ</t>
  </si>
  <si>
    <t xml:space="preserve">          2.5.2  ผลิตภัณฑ์พลาสติก</t>
  </si>
  <si>
    <t xml:space="preserve">          -  ผลิตภัณฑ์อลูมิเนียม</t>
  </si>
  <si>
    <t xml:space="preserve">          -  เครื่องมือแพทย์และอุปกรณ์</t>
  </si>
  <si>
    <t xml:space="preserve">          -  ผลิตภัณฑ์เภสัชภัณฑ์</t>
  </si>
  <si>
    <t xml:space="preserve">    2.16  รองเท้าและชิ้นส่วน</t>
  </si>
  <si>
    <t xml:space="preserve">    2.17  เครื่องกีฬาและเครื่องเล่นเกมส์</t>
  </si>
  <si>
    <t xml:space="preserve">    2.18  เครื่องใช้สำหรับเดินทาง  อาทิ  หีบเดินทาง  กระเป๋าใส่เสื้อผ้า  กระเป๋าใส่สตางค์  กระเป๋าถือ  เป็นต้น</t>
  </si>
  <si>
    <t>สัดส่วน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</si>
  <si>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</si>
  <si>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</si>
  <si>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</si>
  <si>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</si>
  <si>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</si>
  <si>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</si>
  <si>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</si>
  <si>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</si>
  <si>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</si>
  <si>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</si>
  <si>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</si>
  <si>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</si>
  <si>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ประมาณการตัวเลขการส่งออก ปี 2555</t>
  </si>
  <si>
    <t>มูลค่าการส่งออก</t>
  </si>
  <si>
    <t>ล้านเหรียญสหรัฐฯ</t>
  </si>
  <si>
    <t>2550 T</t>
  </si>
  <si>
    <t>2554 F2</t>
  </si>
  <si>
    <t>2555 F</t>
  </si>
  <si>
    <t>2555 F2</t>
  </si>
  <si>
    <t>2551 T</t>
  </si>
  <si>
    <t>2551 T*</t>
  </si>
  <si>
    <t>2551 T**</t>
  </si>
  <si>
    <t>2551 T***</t>
  </si>
  <si>
    <t>A 47-49</t>
  </si>
  <si>
    <t>A 51-53</t>
  </si>
  <si>
    <t>หมายเหตุ : ปี 2553  เป็นตัวเลขเบื้องต้น</t>
  </si>
  <si>
    <t xml:space="preserve">              ปี 2555 * เป็นตัวเลขประมาณการ</t>
  </si>
  <si>
    <t>ประมาณ 54</t>
  </si>
  <si>
    <t>11 เดือนแรก 54</t>
  </si>
  <si>
    <t>1 เดือนหลัง 54</t>
  </si>
  <si>
    <t>%</t>
  </si>
  <si>
    <t>Value</t>
  </si>
  <si>
    <t>เฉลี่ย</t>
  </si>
  <si>
    <t>เฉลี่ยส่งออก : ล้านเหรียญสหรัฐฯ/เดือน</t>
  </si>
  <si>
    <t>มูลค่า</t>
  </si>
  <si>
    <t>เทียบกับเดือนเดียวกันของปีก่อน</t>
  </si>
  <si>
    <t>เฉลี่ย 3 เดือนย้อนหลัง</t>
  </si>
  <si>
    <t>ความแตกต่าง</t>
  </si>
  <si>
    <t>เฉลี่ย 6 เดือนย้อนหลัง</t>
  </si>
  <si>
    <t>ร้อยละ</t>
  </si>
  <si>
    <t>export</t>
  </si>
  <si>
    <t>import</t>
  </si>
  <si>
    <t>trade balance</t>
  </si>
  <si>
    <t>มค 45</t>
  </si>
  <si>
    <t>มค 46</t>
  </si>
  <si>
    <t>มค 47</t>
  </si>
  <si>
    <t>มค 48</t>
  </si>
  <si>
    <t>X</t>
  </si>
  <si>
    <t>M</t>
  </si>
  <si>
    <t>TB</t>
  </si>
  <si>
    <t>มค 49</t>
  </si>
  <si>
    <t>มค 50</t>
  </si>
  <si>
    <t>มค 51</t>
  </si>
  <si>
    <t>มค 52</t>
  </si>
  <si>
    <t>มค 53</t>
  </si>
  <si>
    <t>มค 54</t>
  </si>
  <si>
    <t>ส่งออก</t>
  </si>
  <si>
    <t>นำเข้า</t>
  </si>
  <si>
    <t>x</t>
  </si>
  <si>
    <t>m</t>
  </si>
  <si>
    <t>bl</t>
  </si>
  <si>
    <t>46 ac</t>
  </si>
  <si>
    <t>มค 43</t>
  </si>
  <si>
    <t>มค 44</t>
  </si>
  <si>
    <t>ประมาณการตัวเลขการส่งออก ปี 2554 - 2555</t>
  </si>
  <si>
    <t>อัตราการขยายตัว</t>
  </si>
  <si>
    <t>2554 F1</t>
  </si>
  <si>
    <t>2554 F3</t>
  </si>
  <si>
    <t>2555F1</t>
  </si>
  <si>
    <t>2555F2</t>
  </si>
  <si>
    <t>2552 T*</t>
  </si>
  <si>
    <t>2553 T**</t>
  </si>
  <si>
    <t>2554 T***</t>
  </si>
  <si>
    <t>A 52-54</t>
  </si>
  <si>
    <t>Average 52-54</t>
  </si>
  <si>
    <t>Total</t>
  </si>
  <si>
    <t>กย-ธค</t>
  </si>
  <si>
    <t>Growth (%)</t>
  </si>
  <si>
    <t>หมายเหตุ : ปี 2554 เดือน ม.ค.-ค.ค. เป็นตัวเลขส่งออกจริง</t>
  </si>
  <si>
    <t xml:space="preserve">              ปี 2554 เดือน พ.ย.-ธ.ค.* เป็นตัวเลขประมาณการ</t>
  </si>
  <si>
    <t>8 เดือนแรก 54</t>
  </si>
  <si>
    <t>4 เดือนหลัง 54</t>
  </si>
  <si>
    <t>ประมาณการตัวเลขการส่งออก ปี 2554</t>
  </si>
  <si>
    <t>2554 F</t>
  </si>
  <si>
    <t>_</t>
  </si>
  <si>
    <t>พย-ธค</t>
  </si>
  <si>
    <t xml:space="preserve">              ปี 2554 * เป็นตัวเลขประมาณการ</t>
  </si>
  <si>
    <t>10 เดือนแรก 54</t>
  </si>
  <si>
    <t>2 เดือนหลัง 54</t>
  </si>
  <si>
    <t>ต.ค.</t>
  </si>
  <si>
    <t>พ.ย.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</si>
  <si>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</si>
  <si>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</si>
  <si>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</si>
  <si>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</si>
  <si>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</si>
  <si>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</si>
  <si>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</si>
  <si>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</si>
  <si>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</si>
  <si>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ธ.ค.</t>
  </si>
  <si>
    <t>การส่งออกสินค้าสำคัญของไทยของปี 2568</t>
  </si>
  <si>
    <t xml:space="preserve">หมายเหตุ : ปี 2568 เป็นตัวเลขเบื้องต้น </t>
  </si>
  <si>
    <t>มูลค่า (ล้านดอลลาร์สหรัฐ)</t>
  </si>
  <si>
    <t>มูลค่า ( ล้านดอลลาร์ $ )</t>
  </si>
  <si>
    <t xml:space="preserve">                   ราคา:ดอลลาร์ $ ต่อ เมตริกตัน</t>
  </si>
  <si>
    <t xml:space="preserve">เดือน </t>
  </si>
  <si>
    <t xml:space="preserve">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</si>
</sst>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_-* #,##0.00_-;\-* #,##0.00_-;_-* &quot;-&quot;??_-;_-@_-"/>
    <numFmt numFmtId="165" formatCode="#,##0.0"/>
    <numFmt numFmtId="166" formatCode="_(* #,##0_);_(* \(#,##0\);_(* &quot;-&quot;??_);_(@_)"/>
    <numFmt numFmtId="167" formatCode="0.00_ ;[Red]\-0.00\ "/>
    <numFmt numFmtId="168" formatCode="0.0_ ;[Red]\-0.0\ "/>
    <numFmt numFmtId="169" formatCode="0_ ;[Red]\-0\ "/>
    <numFmt numFmtId="170" formatCode="#,##0_ ;[Red]\-#,##0\ "/>
    <numFmt numFmtId="171" formatCode="#,##0.000"/>
    <numFmt numFmtId="172" formatCode="#,##0.0_ ;[Red]\-#,##0.0\ "/>
    <numFmt numFmtId="173" formatCode="#,##0.00_ ;[Red]\-#,##0.00\ "/>
    <numFmt numFmtId="174" formatCode="_(* #,##0.000_);_(* \(#,##0.000\);_(* &quot;-&quot;??_);_(@_)"/>
    <numFmt numFmtId="175" formatCode="_-* #,##0.0_-;\-* #,##0.0_-;_-* &quot;-&quot;??_-;_-@_-"/>
  </numFmts>
  <fonts count="45">
    <font>
      <sz val="14"/>
      <name val="AngsanaUPC"/>
    </font>
    <font>
      <sz val="11"/>
      <color theme="1"/>
      <name val="Calibri"/>
      <family val="2"/>
      <charset val="22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ngsanaUPC"/>
      <family val="1"/>
    </font>
    <font>
      <sz val="14"/>
      <name val="AngsanaUPC"/>
      <family val="1"/>
      <charset val="222"/>
    </font>
    <font>
      <b/>
      <sz val="16"/>
      <name val="DilleniaUPC"/>
      <family val="1"/>
      <charset val="222"/>
    </font>
    <font>
      <sz val="12"/>
      <name val="DilleniaUPC"/>
      <family val="1"/>
    </font>
    <font>
      <b/>
      <sz val="12"/>
      <name val="DilleniaUPC"/>
      <family val="1"/>
      <charset val="222"/>
    </font>
    <font>
      <b/>
      <sz val="12"/>
      <name val="DilleniaUPC"/>
      <family val="1"/>
    </font>
    <font>
      <b/>
      <sz val="14"/>
      <name val="DilleniaUPC"/>
      <family val="1"/>
    </font>
    <font>
      <b/>
      <sz val="18"/>
      <name val="AngsanaUPC"/>
      <family val="1"/>
    </font>
    <font>
      <sz val="12"/>
      <name val="AngsanaUPC"/>
      <family val="1"/>
      <charset val="222"/>
    </font>
    <font>
      <sz val="12"/>
      <name val="DilleniaUPC"/>
      <family val="1"/>
      <charset val="222"/>
    </font>
    <font>
      <b/>
      <sz val="14"/>
      <name val="DilleniaUPC"/>
      <family val="1"/>
      <charset val="222"/>
    </font>
    <font>
      <sz val="11"/>
      <name val="AngsanaUPC"/>
      <family val="1"/>
      <charset val="222"/>
    </font>
    <font>
      <b/>
      <sz val="11"/>
      <name val="DilleniaUPC"/>
      <family val="1"/>
    </font>
    <font>
      <b/>
      <sz val="13"/>
      <name val="DilleniaUPC"/>
      <family val="1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8"/>
      <name val="AngsanaUPC"/>
      <family val="1"/>
      <charset val="222"/>
    </font>
    <font>
      <sz val="14"/>
      <name val="AngsanaUPC"/>
      <family val="1"/>
      <charset val="222"/>
    </font>
    <font>
      <b/>
      <sz val="12"/>
      <name val="AngsanaUPC"/>
      <family val="1"/>
    </font>
    <font>
      <sz val="12"/>
      <color theme="4" tint="-0.249977111117893"/>
      <name val="DilleniaUPC"/>
      <family val="1"/>
    </font>
    <font>
      <b/>
      <sz val="12"/>
      <color theme="4" tint="-0.249977111117893"/>
      <name val="DilleniaUPC"/>
      <family val="1"/>
    </font>
    <font>
      <b/>
      <sz val="12"/>
      <color theme="4" tint="-0.249977111117893"/>
      <name val="DilleniaUPC"/>
      <family val="1"/>
      <charset val="222"/>
    </font>
    <font>
      <b/>
      <sz val="12"/>
      <color rgb="FFFF0000"/>
      <name val="DilleniaUPC"/>
      <family val="1"/>
      <charset val="222"/>
    </font>
    <font>
      <sz val="12"/>
      <color theme="0"/>
      <name val="DilleniaUPC"/>
      <family val="1"/>
      <charset val="222"/>
    </font>
    <font>
      <b/>
      <sz val="12"/>
      <color theme="0"/>
      <name val="DilleniaUPC"/>
      <family val="1"/>
      <charset val="222"/>
    </font>
    <font>
      <sz val="12"/>
      <color rgb="FFFF0000"/>
      <name val="DilleniaUPC"/>
      <family val="1"/>
    </font>
    <font>
      <b/>
      <sz val="12"/>
      <color rgb="FFFF0000"/>
      <name val="DilleniaUPC"/>
      <family val="1"/>
    </font>
    <font>
      <b/>
      <sz val="14"/>
      <color rgb="FFFF0000"/>
      <name val="DilleniaUPC"/>
      <family val="1"/>
    </font>
    <font>
      <sz val="12"/>
      <color rgb="FFFF0000"/>
      <name val="DilleniaUPC"/>
      <family val="1"/>
      <charset val="222"/>
    </font>
    <font>
      <b/>
      <sz val="12"/>
      <color rgb="FF00B050"/>
      <name val="DilleniaUPC"/>
      <family val="1"/>
      <charset val="222"/>
    </font>
    <font>
      <sz val="14"/>
      <name val="DilleniaUPC"/>
      <family val="1"/>
    </font>
    <font>
      <sz val="12"/>
      <color rgb="FF000000"/>
      <name val="DilleniaUPC"/>
      <family val="1"/>
    </font>
    <font>
      <sz val="14"/>
      <name val="AngsanaUPC"/>
      <family val="1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3"/>
      <color rgb="FF000000"/>
      <name val="Tahoma"/>
      <family val="2"/>
    </font>
    <font>
      <b/>
      <sz val="18"/>
      <color theme="1"/>
      <name val="TH Sarabun New"/>
      <family val="2"/>
    </font>
    <font>
      <sz val="11"/>
      <color theme="0" tint="-0.34998626667073579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otted">
        <color indexed="64"/>
      </right>
      <top/>
      <bottom/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5">
    <xf numFmtId="0" fontId="0" fillId="0" borderId="0"/>
    <xf numFmtId="43" fontId="5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5" fillId="0" borderId="0"/>
    <xf numFmtId="0" fontId="21" fillId="0" borderId="0"/>
    <xf numFmtId="0" fontId="36" fillId="0" borderId="0"/>
    <xf numFmtId="0" fontId="37" fillId="0" borderId="0"/>
    <xf numFmtId="164" fontId="37" fillId="0" borderId="0" applyFont="0" applyFill="0" applyBorder="0" applyAlignment="0" applyProtection="0"/>
    <xf numFmtId="0" fontId="38" fillId="0" borderId="0"/>
    <xf numFmtId="164" fontId="38" fillId="0" borderId="0" applyFont="0" applyFill="0" applyBorder="0" applyAlignment="0" applyProtection="0"/>
    <xf numFmtId="0" fontId="3" fillId="0" borderId="0"/>
    <xf numFmtId="0" fontId="42" fillId="0" borderId="28">
      <alignment horizontal="right"/>
    </xf>
    <xf numFmtId="0" fontId="42" fillId="0" borderId="28">
      <alignment horizontal="right"/>
    </xf>
    <xf numFmtId="0" fontId="1" fillId="0" borderId="0"/>
    <xf numFmtId="164" fontId="3" fillId="0" borderId="0" applyFont="0" applyFill="0" applyBorder="0" applyAlignment="0" applyProtection="0"/>
  </cellStyleXfs>
  <cellXfs count="409">
    <xf numFmtId="0" fontId="0" fillId="0" borderId="0" xfId="0"/>
    <xf numFmtId="0" fontId="6" fillId="0" borderId="0" xfId="0" applyFont="1"/>
    <xf numFmtId="0" fontId="0" fillId="0" borderId="0" xfId="0" applyAlignment="1">
      <alignment horizontal="centerContinuous"/>
    </xf>
    <xf numFmtId="0" fontId="9" fillId="0" borderId="0" xfId="0" applyFont="1"/>
    <xf numFmtId="0" fontId="9" fillId="0" borderId="0" xfId="0" applyFont="1" applyAlignment="1">
      <alignment horizontal="right"/>
    </xf>
    <xf numFmtId="0" fontId="4" fillId="0" borderId="0" xfId="0" applyFont="1" applyAlignment="1">
      <alignment horizontal="centerContinuous"/>
    </xf>
    <xf numFmtId="3" fontId="0" fillId="0" borderId="0" xfId="0" applyNumberFormat="1"/>
    <xf numFmtId="2" fontId="7" fillId="0" borderId="0" xfId="0" applyNumberFormat="1" applyFont="1"/>
    <xf numFmtId="0" fontId="13" fillId="0" borderId="0" xfId="0" applyFont="1"/>
    <xf numFmtId="165" fontId="13" fillId="0" borderId="0" xfId="0" applyNumberFormat="1" applyFont="1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right"/>
    </xf>
    <xf numFmtId="0" fontId="18" fillId="0" borderId="0" xfId="0" applyFont="1" applyAlignment="1">
      <alignment horizontal="centerContinuous"/>
    </xf>
    <xf numFmtId="0" fontId="18" fillId="0" borderId="0" xfId="0" applyFont="1"/>
    <xf numFmtId="0" fontId="17" fillId="0" borderId="0" xfId="0" applyFont="1" applyAlignment="1">
      <alignment horizontal="centerContinuous"/>
    </xf>
    <xf numFmtId="0" fontId="8" fillId="0" borderId="0" xfId="0" applyFont="1" applyAlignment="1">
      <alignment horizontal="center" vertical="top"/>
    </xf>
    <xf numFmtId="0" fontId="16" fillId="0" borderId="0" xfId="0" applyFont="1" applyAlignment="1">
      <alignment horizontal="right" vertical="top"/>
    </xf>
    <xf numFmtId="0" fontId="7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7" fillId="0" borderId="0" xfId="0" applyFont="1" applyAlignment="1">
      <alignment horizontal="centerContinuous" vertical="top"/>
    </xf>
    <xf numFmtId="3" fontId="7" fillId="0" borderId="0" xfId="1" applyNumberFormat="1" applyFont="1" applyAlignment="1">
      <alignment vertical="top"/>
    </xf>
    <xf numFmtId="4" fontId="0" fillId="0" borderId="0" xfId="0" applyNumberFormat="1"/>
    <xf numFmtId="0" fontId="8" fillId="0" borderId="3" xfId="0" applyFont="1" applyBorder="1" applyAlignment="1">
      <alignment horizontal="right" vertical="center"/>
    </xf>
    <xf numFmtId="165" fontId="7" fillId="0" borderId="4" xfId="1" applyNumberFormat="1" applyFont="1" applyBorder="1" applyAlignment="1">
      <alignment vertical="top"/>
    </xf>
    <xf numFmtId="1" fontId="0" fillId="0" borderId="0" xfId="0" applyNumberFormat="1"/>
    <xf numFmtId="165" fontId="13" fillId="0" borderId="4" xfId="1" applyNumberFormat="1" applyFont="1" applyBorder="1" applyAlignment="1">
      <alignment vertical="top"/>
    </xf>
    <xf numFmtId="3" fontId="13" fillId="0" borderId="0" xfId="0" applyNumberFormat="1" applyFont="1"/>
    <xf numFmtId="166" fontId="13" fillId="0" borderId="0" xfId="1" applyNumberFormat="1" applyFont="1"/>
    <xf numFmtId="165" fontId="0" fillId="0" borderId="0" xfId="0" applyNumberFormat="1"/>
    <xf numFmtId="0" fontId="13" fillId="0" borderId="0" xfId="0" applyFont="1" applyAlignment="1">
      <alignment horizontal="center" vertical="center"/>
    </xf>
    <xf numFmtId="165" fontId="7" fillId="0" borderId="5" xfId="1" applyNumberFormat="1" applyFont="1" applyBorder="1" applyAlignment="1">
      <alignment vertical="center"/>
    </xf>
    <xf numFmtId="165" fontId="7" fillId="0" borderId="4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39" fontId="7" fillId="0" borderId="0" xfId="0" applyNumberFormat="1" applyFont="1" applyAlignment="1">
      <alignment vertical="center"/>
    </xf>
    <xf numFmtId="167" fontId="13" fillId="0" borderId="4" xfId="0" applyNumberFormat="1" applyFont="1" applyBorder="1" applyAlignment="1">
      <alignment vertical="center"/>
    </xf>
    <xf numFmtId="165" fontId="9" fillId="0" borderId="4" xfId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39" fontId="9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8" fontId="13" fillId="0" borderId="4" xfId="0" applyNumberFormat="1" applyFont="1" applyBorder="1" applyAlignment="1">
      <alignment vertical="center"/>
    </xf>
    <xf numFmtId="165" fontId="13" fillId="0" borderId="4" xfId="1" applyNumberFormat="1" applyFont="1" applyBorder="1" applyAlignment="1">
      <alignment vertical="center"/>
    </xf>
    <xf numFmtId="169" fontId="13" fillId="0" borderId="4" xfId="0" applyNumberFormat="1" applyFont="1" applyBorder="1" applyAlignment="1">
      <alignment vertical="center"/>
    </xf>
    <xf numFmtId="165" fontId="7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7" fillId="0" borderId="0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9" fillId="0" borderId="2" xfId="1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centerContinuous" vertical="center"/>
    </xf>
    <xf numFmtId="165" fontId="7" fillId="0" borderId="0" xfId="1" applyNumberFormat="1" applyFont="1" applyAlignment="1">
      <alignment horizontal="right" vertical="center"/>
    </xf>
    <xf numFmtId="165" fontId="7" fillId="0" borderId="0" xfId="1" applyNumberFormat="1" applyFont="1" applyBorder="1" applyAlignment="1">
      <alignment horizontal="right" vertical="center"/>
    </xf>
    <xf numFmtId="165" fontId="9" fillId="0" borderId="2" xfId="1" applyNumberFormat="1" applyFont="1" applyBorder="1" applyAlignment="1">
      <alignment horizontal="right" vertical="center"/>
    </xf>
    <xf numFmtId="4" fontId="7" fillId="0" borderId="0" xfId="1" applyNumberFormat="1" applyFont="1" applyAlignment="1">
      <alignment horizontal="right" vertical="center"/>
    </xf>
    <xf numFmtId="4" fontId="13" fillId="0" borderId="0" xfId="1" applyNumberFormat="1" applyFont="1" applyAlignment="1">
      <alignment horizontal="right" vertical="center"/>
    </xf>
    <xf numFmtId="4" fontId="7" fillId="0" borderId="0" xfId="1" applyNumberFormat="1" applyFont="1" applyBorder="1" applyAlignment="1">
      <alignment horizontal="right" vertical="center"/>
    </xf>
    <xf numFmtId="4" fontId="9" fillId="0" borderId="2" xfId="1" applyNumberFormat="1" applyFont="1" applyBorder="1" applyAlignment="1">
      <alignment horizontal="right" vertical="center"/>
    </xf>
    <xf numFmtId="4" fontId="9" fillId="0" borderId="0" xfId="1" applyNumberFormat="1" applyFont="1" applyBorder="1" applyAlignment="1">
      <alignment horizontal="right" vertical="center"/>
    </xf>
    <xf numFmtId="0" fontId="17" fillId="0" borderId="0" xfId="0" applyFont="1" applyAlignment="1">
      <alignment horizontal="centerContinuous" vertical="center"/>
    </xf>
    <xf numFmtId="165" fontId="7" fillId="0" borderId="0" xfId="1" applyNumberFormat="1" applyFont="1" applyBorder="1" applyAlignment="1">
      <alignment vertical="center"/>
    </xf>
    <xf numFmtId="165" fontId="9" fillId="0" borderId="0" xfId="1" applyNumberFormat="1" applyFont="1" applyBorder="1" applyAlignment="1">
      <alignment horizontal="left" vertical="center"/>
    </xf>
    <xf numFmtId="165" fontId="9" fillId="0" borderId="3" xfId="1" applyNumberFormat="1" applyFont="1" applyBorder="1" applyAlignment="1">
      <alignment vertical="center"/>
    </xf>
    <xf numFmtId="39" fontId="9" fillId="0" borderId="2" xfId="0" applyNumberFormat="1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165" fontId="7" fillId="0" borderId="7" xfId="1" applyNumberFormat="1" applyFont="1" applyBorder="1" applyAlignment="1">
      <alignment vertical="center"/>
    </xf>
    <xf numFmtId="165" fontId="9" fillId="0" borderId="7" xfId="1" applyNumberFormat="1" applyFont="1" applyBorder="1" applyAlignment="1">
      <alignment vertical="center"/>
    </xf>
    <xf numFmtId="167" fontId="13" fillId="0" borderId="3" xfId="0" applyNumberFormat="1" applyFont="1" applyBorder="1" applyAlignment="1">
      <alignment vertical="center"/>
    </xf>
    <xf numFmtId="165" fontId="9" fillId="0" borderId="0" xfId="1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Continuous" vertical="top"/>
    </xf>
    <xf numFmtId="173" fontId="13" fillId="0" borderId="4" xfId="0" applyNumberFormat="1" applyFont="1" applyBorder="1" applyAlignment="1">
      <alignment vertical="center"/>
    </xf>
    <xf numFmtId="165" fontId="9" fillId="0" borderId="0" xfId="1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9" fontId="7" fillId="0" borderId="0" xfId="0" applyNumberFormat="1" applyFont="1" applyAlignment="1">
      <alignment vertical="top"/>
    </xf>
    <xf numFmtId="167" fontId="13" fillId="0" borderId="0" xfId="0" applyNumberFormat="1" applyFont="1" applyAlignment="1">
      <alignment vertical="center"/>
    </xf>
    <xf numFmtId="0" fontId="0" fillId="0" borderId="5" xfId="0" applyBorder="1"/>
    <xf numFmtId="0" fontId="0" fillId="0" borderId="4" xfId="0" applyBorder="1"/>
    <xf numFmtId="0" fontId="0" fillId="0" borderId="3" xfId="0" applyBorder="1"/>
    <xf numFmtId="0" fontId="7" fillId="0" borderId="3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165" fontId="9" fillId="0" borderId="4" xfId="1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3" xfId="0" quotePrefix="1" applyFont="1" applyBorder="1" applyAlignment="1">
      <alignment horizontal="center" vertical="center"/>
    </xf>
    <xf numFmtId="165" fontId="9" fillId="0" borderId="0" xfId="1" applyNumberFormat="1" applyFont="1" applyAlignment="1">
      <alignment horizontal="left" vertical="center"/>
    </xf>
    <xf numFmtId="165" fontId="9" fillId="0" borderId="0" xfId="1" applyNumberFormat="1" applyFont="1" applyAlignment="1">
      <alignment horizontal="right" vertical="center"/>
    </xf>
    <xf numFmtId="4" fontId="9" fillId="0" borderId="0" xfId="1" applyNumberFormat="1" applyFont="1" applyAlignment="1">
      <alignment horizontal="right" vertical="center"/>
    </xf>
    <xf numFmtId="165" fontId="9" fillId="0" borderId="6" xfId="1" applyNumberFormat="1" applyFont="1" applyBorder="1" applyAlignment="1">
      <alignment horizontal="left" vertical="center"/>
    </xf>
    <xf numFmtId="165" fontId="9" fillId="0" borderId="6" xfId="1" applyNumberFormat="1" applyFont="1" applyBorder="1" applyAlignment="1">
      <alignment horizontal="right" vertical="center"/>
    </xf>
    <xf numFmtId="0" fontId="19" fillId="0" borderId="0" xfId="0" applyFont="1" applyAlignment="1">
      <alignment horizontal="centerContinuous"/>
    </xf>
    <xf numFmtId="173" fontId="0" fillId="0" borderId="0" xfId="0" applyNumberFormat="1" applyAlignment="1">
      <alignment vertical="center"/>
    </xf>
    <xf numFmtId="173" fontId="7" fillId="0" borderId="0" xfId="0" applyNumberFormat="1" applyFont="1" applyAlignment="1">
      <alignment vertical="center"/>
    </xf>
    <xf numFmtId="173" fontId="4" fillId="0" borderId="0" xfId="0" applyNumberFormat="1" applyFont="1" applyAlignment="1">
      <alignment vertical="center"/>
    </xf>
    <xf numFmtId="173" fontId="9" fillId="0" borderId="0" xfId="0" applyNumberFormat="1" applyFont="1" applyAlignment="1">
      <alignment vertical="center"/>
    </xf>
    <xf numFmtId="173" fontId="5" fillId="0" borderId="0" xfId="0" applyNumberFormat="1" applyFont="1" applyAlignment="1">
      <alignment vertical="center"/>
    </xf>
    <xf numFmtId="173" fontId="9" fillId="0" borderId="2" xfId="0" applyNumberFormat="1" applyFont="1" applyBorder="1" applyAlignment="1">
      <alignment vertical="center"/>
    </xf>
    <xf numFmtId="4" fontId="9" fillId="0" borderId="1" xfId="1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9" fillId="0" borderId="0" xfId="0" applyFont="1" applyAlignment="1">
      <alignment horizontal="centerContinuous" vertical="center"/>
    </xf>
    <xf numFmtId="165" fontId="12" fillId="0" borderId="0" xfId="0" applyNumberFormat="1" applyFont="1"/>
    <xf numFmtId="172" fontId="7" fillId="0" borderId="0" xfId="0" applyNumberFormat="1" applyFont="1" applyAlignment="1">
      <alignment vertical="center"/>
    </xf>
    <xf numFmtId="172" fontId="9" fillId="0" borderId="0" xfId="0" applyNumberFormat="1" applyFont="1" applyAlignment="1">
      <alignment vertical="center"/>
    </xf>
    <xf numFmtId="165" fontId="7" fillId="0" borderId="8" xfId="1" applyNumberFormat="1" applyFont="1" applyBorder="1" applyAlignment="1">
      <alignment vertical="center"/>
    </xf>
    <xf numFmtId="165" fontId="13" fillId="0" borderId="8" xfId="1" applyNumberFormat="1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4" fontId="7" fillId="0" borderId="2" xfId="1" applyNumberFormat="1" applyFont="1" applyBorder="1" applyAlignment="1">
      <alignment horizontal="right" vertical="center"/>
    </xf>
    <xf numFmtId="3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65" fontId="9" fillId="0" borderId="0" xfId="0" applyNumberFormat="1" applyFont="1" applyAlignment="1">
      <alignment horizontal="right" vertical="center"/>
    </xf>
    <xf numFmtId="167" fontId="13" fillId="0" borderId="5" xfId="0" applyNumberFormat="1" applyFont="1" applyBorder="1" applyAlignment="1">
      <alignment vertical="center"/>
    </xf>
    <xf numFmtId="165" fontId="9" fillId="0" borderId="1" xfId="1" applyNumberFormat="1" applyFont="1" applyBorder="1" applyAlignment="1">
      <alignment horizontal="right" vertical="center"/>
    </xf>
    <xf numFmtId="2" fontId="0" fillId="0" borderId="0" xfId="0" applyNumberFormat="1"/>
    <xf numFmtId="171" fontId="13" fillId="0" borderId="0" xfId="0" applyNumberFormat="1" applyFont="1"/>
    <xf numFmtId="165" fontId="13" fillId="0" borderId="0" xfId="1" applyNumberFormat="1" applyFont="1" applyBorder="1" applyAlignment="1">
      <alignment horizontal="right" vertical="center"/>
    </xf>
    <xf numFmtId="4" fontId="13" fillId="0" borderId="0" xfId="1" applyNumberFormat="1" applyFont="1" applyBorder="1" applyAlignment="1">
      <alignment horizontal="right" vertical="center"/>
    </xf>
    <xf numFmtId="1" fontId="13" fillId="0" borderId="6" xfId="0" applyNumberFormat="1" applyFont="1" applyBorder="1" applyAlignment="1">
      <alignment horizontal="center"/>
    </xf>
    <xf numFmtId="0" fontId="13" fillId="0" borderId="2" xfId="0" applyFont="1" applyBorder="1"/>
    <xf numFmtId="4" fontId="13" fillId="0" borderId="2" xfId="1" applyNumberFormat="1" applyFont="1" applyBorder="1" applyAlignment="1">
      <alignment horizontal="right" vertical="center"/>
    </xf>
    <xf numFmtId="2" fontId="13" fillId="0" borderId="2" xfId="0" applyNumberFormat="1" applyFont="1" applyBorder="1" applyAlignment="1">
      <alignment horizontal="center"/>
    </xf>
    <xf numFmtId="3" fontId="13" fillId="0" borderId="0" xfId="1" applyNumberFormat="1" applyFont="1" applyBorder="1" applyAlignment="1">
      <alignment horizontal="right" vertical="center"/>
    </xf>
    <xf numFmtId="1" fontId="13" fillId="0" borderId="14" xfId="0" applyNumberFormat="1" applyFont="1" applyBorder="1" applyAlignment="1">
      <alignment horizontal="center"/>
    </xf>
    <xf numFmtId="3" fontId="13" fillId="0" borderId="15" xfId="0" applyNumberFormat="1" applyFont="1" applyBorder="1" applyAlignment="1">
      <alignment horizontal="center"/>
    </xf>
    <xf numFmtId="3" fontId="13" fillId="0" borderId="16" xfId="1" applyNumberFormat="1" applyFont="1" applyBorder="1" applyAlignment="1">
      <alignment horizontal="right" vertical="center"/>
    </xf>
    <xf numFmtId="1" fontId="13" fillId="0" borderId="13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3" fontId="13" fillId="0" borderId="15" xfId="1" applyNumberFormat="1" applyFont="1" applyBorder="1" applyAlignment="1">
      <alignment horizontal="right" vertical="center"/>
    </xf>
    <xf numFmtId="165" fontId="13" fillId="0" borderId="16" xfId="1" applyNumberFormat="1" applyFont="1" applyBorder="1" applyAlignment="1">
      <alignment horizontal="right" vertical="center"/>
    </xf>
    <xf numFmtId="3" fontId="13" fillId="0" borderId="17" xfId="0" applyNumberFormat="1" applyFont="1" applyBorder="1" applyAlignment="1">
      <alignment horizontal="center"/>
    </xf>
    <xf numFmtId="0" fontId="13" fillId="0" borderId="6" xfId="0" applyFont="1" applyBorder="1"/>
    <xf numFmtId="4" fontId="13" fillId="0" borderId="6" xfId="1" applyNumberFormat="1" applyFont="1" applyBorder="1" applyAlignment="1">
      <alignment horizontal="right" vertical="center"/>
    </xf>
    <xf numFmtId="3" fontId="13" fillId="0" borderId="18" xfId="1" applyNumberFormat="1" applyFont="1" applyBorder="1" applyAlignment="1">
      <alignment horizontal="right" vertical="center"/>
    </xf>
    <xf numFmtId="3" fontId="13" fillId="0" borderId="17" xfId="1" applyNumberFormat="1" applyFont="1" applyBorder="1" applyAlignment="1">
      <alignment horizontal="right" vertical="center"/>
    </xf>
    <xf numFmtId="3" fontId="13" fillId="0" borderId="6" xfId="1" applyNumberFormat="1" applyFont="1" applyBorder="1" applyAlignment="1">
      <alignment horizontal="right" vertical="center"/>
    </xf>
    <xf numFmtId="165" fontId="13" fillId="0" borderId="18" xfId="1" applyNumberFormat="1" applyFont="1" applyBorder="1" applyAlignment="1">
      <alignment horizontal="right" vertical="center"/>
    </xf>
    <xf numFmtId="167" fontId="7" fillId="0" borderId="4" xfId="0" applyNumberFormat="1" applyFont="1" applyBorder="1" applyAlignment="1">
      <alignment vertical="center"/>
    </xf>
    <xf numFmtId="3" fontId="7" fillId="0" borderId="0" xfId="1" applyNumberFormat="1" applyFont="1" applyBorder="1" applyAlignment="1">
      <alignment horizontal="right" vertical="center"/>
    </xf>
    <xf numFmtId="3" fontId="7" fillId="0" borderId="6" xfId="1" applyNumberFormat="1" applyFont="1" applyBorder="1" applyAlignment="1">
      <alignment horizontal="right" vertical="center"/>
    </xf>
    <xf numFmtId="165" fontId="7" fillId="2" borderId="0" xfId="1" applyNumberFormat="1" applyFont="1" applyFill="1" applyAlignment="1">
      <alignment horizontal="right" vertical="center"/>
    </xf>
    <xf numFmtId="165" fontId="9" fillId="2" borderId="0" xfId="1" applyNumberFormat="1" applyFont="1" applyFill="1" applyBorder="1" applyAlignment="1">
      <alignment horizontal="right" vertical="center"/>
    </xf>
    <xf numFmtId="165" fontId="9" fillId="2" borderId="6" xfId="1" applyNumberFormat="1" applyFont="1" applyFill="1" applyBorder="1" applyAlignment="1">
      <alignment horizontal="right" vertical="center"/>
    </xf>
    <xf numFmtId="165" fontId="9" fillId="2" borderId="2" xfId="1" applyNumberFormat="1" applyFont="1" applyFill="1" applyBorder="1" applyAlignment="1">
      <alignment horizontal="right" vertical="center"/>
    </xf>
    <xf numFmtId="3" fontId="13" fillId="2" borderId="15" xfId="0" applyNumberFormat="1" applyFont="1" applyFill="1" applyBorder="1" applyAlignment="1">
      <alignment horizontal="center"/>
    </xf>
    <xf numFmtId="3" fontId="13" fillId="2" borderId="17" xfId="0" applyNumberFormat="1" applyFont="1" applyFill="1" applyBorder="1" applyAlignment="1">
      <alignment horizontal="center"/>
    </xf>
    <xf numFmtId="0" fontId="5" fillId="0" borderId="0" xfId="3"/>
    <xf numFmtId="0" fontId="19" fillId="0" borderId="0" xfId="3" applyFont="1" applyAlignment="1">
      <alignment horizontal="centerContinuous" vertical="center"/>
    </xf>
    <xf numFmtId="0" fontId="4" fillId="0" borderId="0" xfId="3" applyFont="1" applyAlignment="1">
      <alignment horizontal="centerContinuous"/>
    </xf>
    <xf numFmtId="0" fontId="10" fillId="0" borderId="0" xfId="3" applyFont="1" applyAlignment="1">
      <alignment horizontal="centerContinuous" vertical="center"/>
    </xf>
    <xf numFmtId="0" fontId="5" fillId="0" borderId="0" xfId="3" applyAlignment="1">
      <alignment horizontal="centerContinuous"/>
    </xf>
    <xf numFmtId="0" fontId="14" fillId="0" borderId="0" xfId="3" applyFont="1" applyAlignment="1">
      <alignment horizontal="centerContinuous" vertical="top"/>
    </xf>
    <xf numFmtId="0" fontId="19" fillId="0" borderId="0" xfId="3" applyFont="1" applyAlignment="1">
      <alignment horizontal="centerContinuous"/>
    </xf>
    <xf numFmtId="0" fontId="9" fillId="0" borderId="0" xfId="3" applyFont="1" applyAlignment="1">
      <alignment horizontal="right"/>
    </xf>
    <xf numFmtId="0" fontId="9" fillId="0" borderId="0" xfId="3" applyFont="1" applyAlignment="1">
      <alignment horizontal="right" vertical="center"/>
    </xf>
    <xf numFmtId="0" fontId="7" fillId="0" borderId="2" xfId="3" applyFont="1" applyBorder="1" applyAlignment="1">
      <alignment horizontal="center" vertical="center"/>
    </xf>
    <xf numFmtId="0" fontId="5" fillId="0" borderId="0" xfId="3" applyAlignment="1">
      <alignment horizontal="center" vertical="center"/>
    </xf>
    <xf numFmtId="165" fontId="7" fillId="0" borderId="0" xfId="2" applyNumberFormat="1" applyFont="1" applyAlignment="1">
      <alignment horizontal="center" vertical="center"/>
    </xf>
    <xf numFmtId="165" fontId="7" fillId="0" borderId="0" xfId="2" applyNumberFormat="1" applyFont="1" applyAlignment="1">
      <alignment horizontal="right" vertical="center"/>
    </xf>
    <xf numFmtId="165" fontId="23" fillId="0" borderId="0" xfId="2" applyNumberFormat="1" applyFont="1" applyAlignment="1">
      <alignment horizontal="center" vertical="center"/>
    </xf>
    <xf numFmtId="4" fontId="7" fillId="0" borderId="0" xfId="2" applyNumberFormat="1" applyFont="1" applyAlignment="1">
      <alignment horizontal="center" vertical="center"/>
    </xf>
    <xf numFmtId="4" fontId="13" fillId="0" borderId="0" xfId="2" applyNumberFormat="1" applyFont="1" applyAlignment="1">
      <alignment horizontal="center" vertical="center"/>
    </xf>
    <xf numFmtId="4" fontId="7" fillId="0" borderId="0" xfId="2" applyNumberFormat="1" applyFont="1" applyAlignment="1">
      <alignment horizontal="right" vertical="center"/>
    </xf>
    <xf numFmtId="4" fontId="13" fillId="0" borderId="0" xfId="3" applyNumberFormat="1" applyFont="1" applyAlignment="1">
      <alignment horizontal="center"/>
    </xf>
    <xf numFmtId="165" fontId="9" fillId="0" borderId="0" xfId="2" applyNumberFormat="1" applyFont="1" applyAlignment="1">
      <alignment horizontal="left" vertical="center"/>
    </xf>
    <xf numFmtId="165" fontId="9" fillId="0" borderId="0" xfId="2" applyNumberFormat="1" applyFont="1" applyAlignment="1">
      <alignment horizontal="right" vertical="center"/>
    </xf>
    <xf numFmtId="165" fontId="9" fillId="0" borderId="0" xfId="2" applyNumberFormat="1" applyFont="1" applyBorder="1" applyAlignment="1">
      <alignment horizontal="right" vertical="center"/>
    </xf>
    <xf numFmtId="165" fontId="9" fillId="0" borderId="0" xfId="2" applyNumberFormat="1" applyFont="1" applyAlignment="1">
      <alignment horizontal="center" vertical="center"/>
    </xf>
    <xf numFmtId="165" fontId="24" fillId="0" borderId="0" xfId="2" applyNumberFormat="1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4" fontId="9" fillId="0" borderId="0" xfId="2" applyNumberFormat="1" applyFont="1" applyAlignment="1">
      <alignment horizontal="center" vertical="center"/>
    </xf>
    <xf numFmtId="165" fontId="25" fillId="0" borderId="0" xfId="2" applyNumberFormat="1" applyFont="1" applyAlignment="1">
      <alignment horizontal="center" vertical="center"/>
    </xf>
    <xf numFmtId="165" fontId="9" fillId="0" borderId="0" xfId="2" applyNumberFormat="1" applyFont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165" fontId="7" fillId="0" borderId="0" xfId="2" applyNumberFormat="1" applyFont="1" applyBorder="1" applyAlignment="1">
      <alignment horizontal="center" vertical="center"/>
    </xf>
    <xf numFmtId="165" fontId="7" fillId="0" borderId="0" xfId="2" applyNumberFormat="1" applyFont="1" applyBorder="1" applyAlignment="1">
      <alignment horizontal="right" vertical="center"/>
    </xf>
    <xf numFmtId="4" fontId="7" fillId="0" borderId="0" xfId="2" applyNumberFormat="1" applyFont="1" applyBorder="1" applyAlignment="1">
      <alignment horizontal="center" vertical="center"/>
    </xf>
    <xf numFmtId="165" fontId="9" fillId="0" borderId="0" xfId="2" applyNumberFormat="1" applyFont="1" applyBorder="1" applyAlignment="1">
      <alignment horizontal="left" vertical="center"/>
    </xf>
    <xf numFmtId="4" fontId="9" fillId="0" borderId="0" xfId="2" applyNumberFormat="1" applyFont="1" applyBorder="1" applyAlignment="1">
      <alignment horizontal="center" vertical="center"/>
    </xf>
    <xf numFmtId="165" fontId="9" fillId="0" borderId="6" xfId="2" applyNumberFormat="1" applyFont="1" applyBorder="1" applyAlignment="1">
      <alignment horizontal="left" vertical="center"/>
    </xf>
    <xf numFmtId="165" fontId="9" fillId="0" borderId="6" xfId="2" applyNumberFormat="1" applyFont="1" applyBorder="1" applyAlignment="1">
      <alignment horizontal="right" vertical="center"/>
    </xf>
    <xf numFmtId="165" fontId="9" fillId="0" borderId="6" xfId="2" applyNumberFormat="1" applyFont="1" applyBorder="1" applyAlignment="1">
      <alignment horizontal="center" vertical="center"/>
    </xf>
    <xf numFmtId="165" fontId="9" fillId="0" borderId="2" xfId="2" applyNumberFormat="1" applyFont="1" applyBorder="1" applyAlignment="1">
      <alignment horizontal="center" vertical="center"/>
    </xf>
    <xf numFmtId="165" fontId="9" fillId="0" borderId="2" xfId="2" applyNumberFormat="1" applyFont="1" applyBorder="1" applyAlignment="1">
      <alignment horizontal="right" vertical="center"/>
    </xf>
    <xf numFmtId="165" fontId="24" fillId="0" borderId="2" xfId="2" applyNumberFormat="1" applyFont="1" applyBorder="1" applyAlignment="1">
      <alignment horizontal="center" vertical="center"/>
    </xf>
    <xf numFmtId="4" fontId="9" fillId="0" borderId="1" xfId="2" applyNumberFormat="1" applyFont="1" applyBorder="1" applyAlignment="1">
      <alignment horizontal="center" vertical="center"/>
    </xf>
    <xf numFmtId="4" fontId="9" fillId="0" borderId="2" xfId="2" applyNumberFormat="1" applyFont="1" applyBorder="1" applyAlignment="1">
      <alignment horizontal="center" vertical="center"/>
    </xf>
    <xf numFmtId="4" fontId="26" fillId="0" borderId="2" xfId="2" applyNumberFormat="1" applyFont="1" applyBorder="1" applyAlignment="1">
      <alignment horizontal="center" vertical="center"/>
    </xf>
    <xf numFmtId="4" fontId="9" fillId="0" borderId="1" xfId="2" applyNumberFormat="1" applyFont="1" applyBorder="1" applyAlignment="1">
      <alignment horizontal="right" vertical="center"/>
    </xf>
    <xf numFmtId="4" fontId="9" fillId="0" borderId="2" xfId="2" applyNumberFormat="1" applyFont="1" applyBorder="1" applyAlignment="1">
      <alignment horizontal="right" vertical="center"/>
    </xf>
    <xf numFmtId="4" fontId="7" fillId="0" borderId="2" xfId="2" applyNumberFormat="1" applyFont="1" applyBorder="1" applyAlignment="1">
      <alignment horizontal="right" vertical="center"/>
    </xf>
    <xf numFmtId="4" fontId="9" fillId="0" borderId="0" xfId="2" applyNumberFormat="1" applyFont="1" applyBorder="1" applyAlignment="1">
      <alignment horizontal="right" vertical="center"/>
    </xf>
    <xf numFmtId="165" fontId="9" fillId="0" borderId="1" xfId="2" applyNumberFormat="1" applyFont="1" applyBorder="1" applyAlignment="1">
      <alignment horizontal="right" vertical="center"/>
    </xf>
    <xf numFmtId="4" fontId="7" fillId="0" borderId="0" xfId="2" applyNumberFormat="1" applyFont="1" applyBorder="1" applyAlignment="1">
      <alignment horizontal="right" vertical="center"/>
    </xf>
    <xf numFmtId="165" fontId="13" fillId="0" borderId="0" xfId="3" applyNumberFormat="1" applyFont="1"/>
    <xf numFmtId="171" fontId="13" fillId="0" borderId="0" xfId="3" applyNumberFormat="1" applyFont="1"/>
    <xf numFmtId="3" fontId="13" fillId="0" borderId="0" xfId="3" applyNumberFormat="1" applyFont="1"/>
    <xf numFmtId="165" fontId="12" fillId="0" borderId="0" xfId="3" applyNumberFormat="1" applyFont="1"/>
    <xf numFmtId="165" fontId="5" fillId="0" borderId="0" xfId="3" applyNumberFormat="1"/>
    <xf numFmtId="165" fontId="13" fillId="0" borderId="0" xfId="2" applyNumberFormat="1" applyFont="1" applyBorder="1" applyAlignment="1">
      <alignment horizontal="right" vertical="center"/>
    </xf>
    <xf numFmtId="0" fontId="13" fillId="0" borderId="0" xfId="3" applyFont="1" applyAlignment="1">
      <alignment horizontal="center"/>
    </xf>
    <xf numFmtId="0" fontId="27" fillId="0" borderId="0" xfId="3" applyFont="1"/>
    <xf numFmtId="4" fontId="27" fillId="0" borderId="0" xfId="2" applyNumberFormat="1" applyFont="1" applyBorder="1" applyAlignment="1">
      <alignment horizontal="right" vertical="center"/>
    </xf>
    <xf numFmtId="1" fontId="27" fillId="0" borderId="0" xfId="3" applyNumberFormat="1" applyFont="1" applyAlignment="1">
      <alignment horizontal="center"/>
    </xf>
    <xf numFmtId="2" fontId="27" fillId="0" borderId="0" xfId="3" applyNumberFormat="1" applyFont="1" applyAlignment="1">
      <alignment horizontal="center"/>
    </xf>
    <xf numFmtId="3" fontId="13" fillId="0" borderId="0" xfId="3" applyNumberFormat="1" applyFont="1" applyAlignment="1">
      <alignment horizontal="center"/>
    </xf>
    <xf numFmtId="165" fontId="9" fillId="0" borderId="0" xfId="3" applyNumberFormat="1" applyFont="1" applyAlignment="1">
      <alignment horizontal="right" vertical="center"/>
    </xf>
    <xf numFmtId="0" fontId="28" fillId="0" borderId="0" xfId="3" applyFont="1" applyAlignment="1">
      <alignment horizontal="center"/>
    </xf>
    <xf numFmtId="0" fontId="28" fillId="0" borderId="0" xfId="3" applyFont="1"/>
    <xf numFmtId="3" fontId="28" fillId="0" borderId="0" xfId="2" applyNumberFormat="1" applyFont="1" applyBorder="1" applyAlignment="1">
      <alignment horizontal="right" vertical="center"/>
    </xf>
    <xf numFmtId="165" fontId="28" fillId="0" borderId="0" xfId="2" applyNumberFormat="1" applyFont="1" applyBorder="1" applyAlignment="1">
      <alignment horizontal="right" vertical="center"/>
    </xf>
    <xf numFmtId="3" fontId="27" fillId="0" borderId="0" xfId="3" applyNumberFormat="1" applyFont="1" applyAlignment="1">
      <alignment horizontal="center"/>
    </xf>
    <xf numFmtId="3" fontId="27" fillId="0" borderId="0" xfId="2" applyNumberFormat="1" applyFont="1" applyBorder="1" applyAlignment="1">
      <alignment horizontal="right" vertical="center"/>
    </xf>
    <xf numFmtId="165" fontId="27" fillId="0" borderId="0" xfId="2" applyNumberFormat="1" applyFont="1" applyBorder="1" applyAlignment="1">
      <alignment horizontal="right" vertical="center"/>
    </xf>
    <xf numFmtId="3" fontId="28" fillId="0" borderId="0" xfId="3" applyNumberFormat="1" applyFont="1" applyAlignment="1">
      <alignment horizontal="center"/>
    </xf>
    <xf numFmtId="4" fontId="28" fillId="0" borderId="0" xfId="2" applyNumberFormat="1" applyFont="1" applyBorder="1" applyAlignment="1">
      <alignment horizontal="right" vertical="center"/>
    </xf>
    <xf numFmtId="0" fontId="26" fillId="0" borderId="2" xfId="3" applyFont="1" applyBorder="1" applyAlignment="1">
      <alignment horizontal="center" vertical="center"/>
    </xf>
    <xf numFmtId="165" fontId="29" fillId="0" borderId="0" xfId="2" applyNumberFormat="1" applyFont="1" applyAlignment="1">
      <alignment horizontal="center" vertical="center"/>
    </xf>
    <xf numFmtId="165" fontId="30" fillId="0" borderId="0" xfId="2" applyNumberFormat="1" applyFont="1" applyAlignment="1">
      <alignment horizontal="center" vertical="center"/>
    </xf>
    <xf numFmtId="165" fontId="30" fillId="0" borderId="0" xfId="2" applyNumberFormat="1" applyFont="1" applyBorder="1" applyAlignment="1">
      <alignment horizontal="center" vertical="center"/>
    </xf>
    <xf numFmtId="4" fontId="29" fillId="0" borderId="0" xfId="2" applyNumberFormat="1" applyFont="1" applyAlignment="1">
      <alignment horizontal="center" vertical="center"/>
    </xf>
    <xf numFmtId="4" fontId="30" fillId="0" borderId="0" xfId="2" applyNumberFormat="1" applyFont="1" applyAlignment="1">
      <alignment horizontal="center" vertical="center"/>
    </xf>
    <xf numFmtId="4" fontId="30" fillId="0" borderId="2" xfId="2" applyNumberFormat="1" applyFont="1" applyBorder="1" applyAlignment="1">
      <alignment horizontal="center" vertical="center"/>
    </xf>
    <xf numFmtId="0" fontId="31" fillId="0" borderId="0" xfId="3" applyFont="1" applyAlignment="1">
      <alignment horizontal="center"/>
    </xf>
    <xf numFmtId="4" fontId="32" fillId="0" borderId="0" xfId="2" applyNumberFormat="1" applyFont="1" applyAlignment="1">
      <alignment horizontal="center" vertical="center"/>
    </xf>
    <xf numFmtId="4" fontId="26" fillId="0" borderId="0" xfId="2" applyNumberFormat="1" applyFont="1" applyAlignment="1">
      <alignment horizontal="center" vertical="center"/>
    </xf>
    <xf numFmtId="4" fontId="26" fillId="0" borderId="6" xfId="2" applyNumberFormat="1" applyFont="1" applyBorder="1" applyAlignment="1">
      <alignment horizontal="center" vertical="center"/>
    </xf>
    <xf numFmtId="4" fontId="26" fillId="3" borderId="0" xfId="2" applyNumberFormat="1" applyFont="1" applyFill="1" applyBorder="1" applyAlignment="1">
      <alignment horizontal="center" vertical="center"/>
    </xf>
    <xf numFmtId="4" fontId="9" fillId="0" borderId="0" xfId="2" applyNumberFormat="1" applyFont="1" applyAlignment="1">
      <alignment horizontal="right" vertical="center"/>
    </xf>
    <xf numFmtId="4" fontId="9" fillId="0" borderId="6" xfId="2" applyNumberFormat="1" applyFont="1" applyBorder="1" applyAlignment="1">
      <alignment horizontal="right" vertical="center"/>
    </xf>
    <xf numFmtId="4" fontId="33" fillId="0" borderId="0" xfId="2" applyNumberFormat="1" applyFont="1" applyAlignment="1">
      <alignment horizontal="center" vertical="center"/>
    </xf>
    <xf numFmtId="4" fontId="33" fillId="0" borderId="6" xfId="2" applyNumberFormat="1" applyFont="1" applyBorder="1" applyAlignment="1">
      <alignment horizontal="center" vertical="center"/>
    </xf>
    <xf numFmtId="4" fontId="33" fillId="0" borderId="2" xfId="2" applyNumberFormat="1" applyFont="1" applyBorder="1" applyAlignment="1">
      <alignment horizontal="center" vertical="center"/>
    </xf>
    <xf numFmtId="4" fontId="29" fillId="0" borderId="0" xfId="1" applyNumberFormat="1" applyFont="1" applyAlignment="1">
      <alignment horizontal="right" vertical="center"/>
    </xf>
    <xf numFmtId="4" fontId="30" fillId="0" borderId="0" xfId="1" applyNumberFormat="1" applyFont="1" applyAlignment="1">
      <alignment horizontal="right" vertical="center"/>
    </xf>
    <xf numFmtId="4" fontId="30" fillId="0" borderId="6" xfId="1" applyNumberFormat="1" applyFont="1" applyBorder="1" applyAlignment="1">
      <alignment horizontal="right" vertical="center"/>
    </xf>
    <xf numFmtId="4" fontId="30" fillId="0" borderId="2" xfId="1" applyNumberFormat="1" applyFont="1" applyBorder="1" applyAlignment="1">
      <alignment horizontal="right" vertical="center"/>
    </xf>
    <xf numFmtId="0" fontId="30" fillId="0" borderId="2" xfId="0" applyFont="1" applyBorder="1" applyAlignment="1">
      <alignment horizontal="center" vertical="center"/>
    </xf>
    <xf numFmtId="165" fontId="9" fillId="3" borderId="2" xfId="1" applyNumberFormat="1" applyFont="1" applyFill="1" applyBorder="1" applyAlignment="1">
      <alignment horizontal="right" vertical="center"/>
    </xf>
    <xf numFmtId="4" fontId="30" fillId="2" borderId="2" xfId="1" applyNumberFormat="1" applyFont="1" applyFill="1" applyBorder="1" applyAlignment="1">
      <alignment horizontal="right" vertical="center"/>
    </xf>
    <xf numFmtId="4" fontId="30" fillId="2" borderId="0" xfId="1" applyNumberFormat="1" applyFont="1" applyFill="1" applyAlignment="1">
      <alignment horizontal="right" vertical="center"/>
    </xf>
    <xf numFmtId="0" fontId="22" fillId="0" borderId="6" xfId="3" applyFont="1" applyBorder="1" applyAlignment="1">
      <alignment vertical="center"/>
    </xf>
    <xf numFmtId="165" fontId="9" fillId="0" borderId="0" xfId="2" applyNumberFormat="1" applyFont="1" applyBorder="1" applyAlignment="1">
      <alignment vertical="center"/>
    </xf>
    <xf numFmtId="165" fontId="9" fillId="0" borderId="12" xfId="2" applyNumberFormat="1" applyFont="1" applyBorder="1" applyAlignment="1">
      <alignment vertical="center"/>
    </xf>
    <xf numFmtId="165" fontId="9" fillId="0" borderId="11" xfId="2" applyNumberFormat="1" applyFont="1" applyBorder="1" applyAlignment="1">
      <alignment vertical="center"/>
    </xf>
    <xf numFmtId="165" fontId="9" fillId="0" borderId="2" xfId="2" applyNumberFormat="1" applyFont="1" applyBorder="1" applyAlignment="1">
      <alignment vertical="center"/>
    </xf>
    <xf numFmtId="165" fontId="30" fillId="0" borderId="2" xfId="2" applyNumberFormat="1" applyFont="1" applyBorder="1" applyAlignment="1">
      <alignment vertical="center"/>
    </xf>
    <xf numFmtId="165" fontId="9" fillId="0" borderId="14" xfId="2" applyNumberFormat="1" applyFont="1" applyBorder="1" applyAlignment="1">
      <alignment vertical="center"/>
    </xf>
    <xf numFmtId="165" fontId="30" fillId="3" borderId="2" xfId="1" applyNumberFormat="1" applyFont="1" applyFill="1" applyBorder="1" applyAlignment="1">
      <alignment horizontal="right" vertical="center"/>
    </xf>
    <xf numFmtId="165" fontId="8" fillId="0" borderId="4" xfId="1" applyNumberFormat="1" applyFont="1" applyBorder="1" applyAlignment="1">
      <alignment vertical="center"/>
    </xf>
    <xf numFmtId="167" fontId="8" fillId="0" borderId="4" xfId="0" applyNumberFormat="1" applyFont="1" applyBorder="1" applyAlignment="1">
      <alignment vertical="center"/>
    </xf>
    <xf numFmtId="167" fontId="8" fillId="0" borderId="3" xfId="0" applyNumberFormat="1" applyFont="1" applyBorder="1" applyAlignment="1">
      <alignment vertical="center"/>
    </xf>
    <xf numFmtId="165" fontId="9" fillId="3" borderId="0" xfId="1" applyNumberFormat="1" applyFont="1" applyFill="1" applyBorder="1" applyAlignment="1">
      <alignment horizontal="right" vertical="center"/>
    </xf>
    <xf numFmtId="0" fontId="26" fillId="0" borderId="2" xfId="0" applyFont="1" applyBorder="1" applyAlignment="1">
      <alignment horizontal="center" vertical="center"/>
    </xf>
    <xf numFmtId="4" fontId="32" fillId="0" borderId="0" xfId="1" applyNumberFormat="1" applyFont="1" applyAlignment="1">
      <alignment horizontal="right" vertical="center"/>
    </xf>
    <xf numFmtId="165" fontId="7" fillId="0" borderId="16" xfId="1" applyNumberFormat="1" applyFont="1" applyBorder="1" applyAlignment="1">
      <alignment horizontal="right" vertical="center"/>
    </xf>
    <xf numFmtId="165" fontId="7" fillId="0" borderId="18" xfId="1" applyNumberFormat="1" applyFont="1" applyBorder="1" applyAlignment="1">
      <alignment horizontal="right" vertical="center"/>
    </xf>
    <xf numFmtId="4" fontId="30" fillId="0" borderId="0" xfId="1" applyNumberFormat="1" applyFont="1" applyBorder="1" applyAlignment="1">
      <alignment horizontal="right" vertical="center"/>
    </xf>
    <xf numFmtId="0" fontId="34" fillId="0" borderId="0" xfId="0" applyFont="1"/>
    <xf numFmtId="165" fontId="7" fillId="0" borderId="0" xfId="0" applyNumberFormat="1" applyFont="1" applyAlignment="1">
      <alignment horizontal="center" vertical="center"/>
    </xf>
    <xf numFmtId="174" fontId="7" fillId="0" borderId="0" xfId="1" applyNumberFormat="1" applyFont="1" applyAlignment="1">
      <alignment horizontal="center" vertical="center"/>
    </xf>
    <xf numFmtId="43" fontId="7" fillId="0" borderId="0" xfId="1" applyFont="1" applyAlignment="1">
      <alignment vertical="center"/>
    </xf>
    <xf numFmtId="167" fontId="8" fillId="0" borderId="0" xfId="0" applyNumberFormat="1" applyFont="1" applyAlignment="1">
      <alignment vertical="center"/>
    </xf>
    <xf numFmtId="165" fontId="35" fillId="0" borderId="4" xfId="0" applyNumberFormat="1" applyFont="1" applyBorder="1" applyAlignment="1">
      <alignment horizontal="right" vertical="center"/>
    </xf>
    <xf numFmtId="165" fontId="30" fillId="0" borderId="0" xfId="1" applyNumberFormat="1" applyFont="1" applyBorder="1" applyAlignment="1">
      <alignment vertical="center"/>
    </xf>
    <xf numFmtId="43" fontId="30" fillId="0" borderId="0" xfId="1" applyFont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4" fillId="0" borderId="0" xfId="0" applyFont="1"/>
    <xf numFmtId="165" fontId="30" fillId="0" borderId="0" xfId="0" applyNumberFormat="1" applyFont="1" applyAlignment="1">
      <alignment vertical="center"/>
    </xf>
    <xf numFmtId="173" fontId="30" fillId="0" borderId="0" xfId="0" applyNumberFormat="1" applyFont="1" applyAlignment="1">
      <alignment vertical="center"/>
    </xf>
    <xf numFmtId="0" fontId="8" fillId="0" borderId="21" xfId="0" applyFont="1" applyBorder="1" applyAlignment="1">
      <alignment horizontal="right" vertical="center"/>
    </xf>
    <xf numFmtId="173" fontId="13" fillId="0" borderId="22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172" fontId="13" fillId="0" borderId="0" xfId="0" applyNumberFormat="1" applyFont="1" applyAlignment="1">
      <alignment vertical="center"/>
    </xf>
    <xf numFmtId="173" fontId="13" fillId="0" borderId="0" xfId="0" applyNumberFormat="1" applyFont="1" applyAlignment="1">
      <alignment vertical="center"/>
    </xf>
    <xf numFmtId="170" fontId="13" fillId="0" borderId="0" xfId="0" applyNumberFormat="1" applyFont="1" applyAlignment="1">
      <alignment vertical="center"/>
    </xf>
    <xf numFmtId="173" fontId="13" fillId="0" borderId="0" xfId="1" applyNumberFormat="1" applyFont="1" applyBorder="1" applyAlignment="1">
      <alignment vertical="center"/>
    </xf>
    <xf numFmtId="168" fontId="13" fillId="0" borderId="0" xfId="0" applyNumberFormat="1" applyFont="1" applyAlignment="1">
      <alignment vertical="center"/>
    </xf>
    <xf numFmtId="173" fontId="13" fillId="0" borderId="0" xfId="1" applyNumberFormat="1" applyFont="1" applyBorder="1" applyAlignment="1">
      <alignment vertical="center" shrinkToFit="1"/>
    </xf>
    <xf numFmtId="167" fontId="13" fillId="0" borderId="0" xfId="0" applyNumberFormat="1" applyFont="1" applyAlignment="1">
      <alignment vertical="center" shrinkToFit="1"/>
    </xf>
    <xf numFmtId="167" fontId="7" fillId="0" borderId="0" xfId="0" applyNumberFormat="1" applyFont="1" applyAlignment="1">
      <alignment vertical="center"/>
    </xf>
    <xf numFmtId="169" fontId="13" fillId="0" borderId="0" xfId="0" applyNumberFormat="1" applyFont="1" applyAlignment="1">
      <alignment vertical="center"/>
    </xf>
    <xf numFmtId="167" fontId="7" fillId="0" borderId="0" xfId="0" applyNumberFormat="1" applyFont="1" applyAlignment="1">
      <alignment vertical="center" shrinkToFit="1"/>
    </xf>
    <xf numFmtId="0" fontId="0" fillId="0" borderId="6" xfId="0" applyBorder="1"/>
    <xf numFmtId="0" fontId="8" fillId="0" borderId="21" xfId="0" applyFont="1" applyBorder="1" applyAlignment="1">
      <alignment horizontal="center" vertical="center"/>
    </xf>
    <xf numFmtId="167" fontId="13" fillId="0" borderId="22" xfId="0" applyNumberFormat="1" applyFont="1" applyBorder="1" applyAlignment="1">
      <alignment vertical="center"/>
    </xf>
    <xf numFmtId="168" fontId="13" fillId="0" borderId="22" xfId="0" applyNumberFormat="1" applyFont="1" applyBorder="1" applyAlignment="1">
      <alignment vertical="center"/>
    </xf>
    <xf numFmtId="0" fontId="37" fillId="0" borderId="0" xfId="6"/>
    <xf numFmtId="0" fontId="39" fillId="0" borderId="25" xfId="6" applyFont="1" applyBorder="1" applyAlignment="1">
      <alignment vertical="center" shrinkToFit="1"/>
    </xf>
    <xf numFmtId="0" fontId="39" fillId="0" borderId="26" xfId="6" applyFont="1" applyBorder="1" applyAlignment="1">
      <alignment vertical="center" shrinkToFit="1"/>
    </xf>
    <xf numFmtId="0" fontId="40" fillId="0" borderId="26" xfId="6" applyFont="1" applyBorder="1" applyAlignment="1">
      <alignment vertical="center" shrinkToFit="1"/>
    </xf>
    <xf numFmtId="0" fontId="39" fillId="0" borderId="27" xfId="6" applyFont="1" applyBorder="1" applyAlignment="1">
      <alignment vertical="center" shrinkToFit="1"/>
    </xf>
    <xf numFmtId="1" fontId="41" fillId="0" borderId="0" xfId="6" applyNumberFormat="1" applyFont="1" applyAlignment="1">
      <alignment vertical="center"/>
    </xf>
    <xf numFmtId="0" fontId="40" fillId="0" borderId="0" xfId="6" applyFont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27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13" fillId="0" borderId="1" xfId="0" applyFont="1" applyBorder="1" applyAlignment="1">
      <alignment horizontal="center"/>
    </xf>
    <xf numFmtId="165" fontId="8" fillId="0" borderId="4" xfId="1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3" fontId="8" fillId="0" borderId="4" xfId="0" applyNumberFormat="1" applyFont="1" applyBorder="1" applyAlignment="1">
      <alignment vertical="center"/>
    </xf>
    <xf numFmtId="0" fontId="5" fillId="0" borderId="0" xfId="0" applyFont="1"/>
    <xf numFmtId="173" fontId="8" fillId="0" borderId="3" xfId="0" applyNumberFormat="1" applyFont="1" applyBorder="1" applyAlignment="1">
      <alignment vertical="center"/>
    </xf>
    <xf numFmtId="167" fontId="8" fillId="0" borderId="5" xfId="0" applyNumberFormat="1" applyFont="1" applyBorder="1" applyAlignment="1">
      <alignment vertical="center"/>
    </xf>
    <xf numFmtId="173" fontId="8" fillId="0" borderId="22" xfId="0" applyNumberFormat="1" applyFont="1" applyBorder="1" applyAlignment="1">
      <alignment vertical="center"/>
    </xf>
    <xf numFmtId="172" fontId="8" fillId="0" borderId="0" xfId="0" applyNumberFormat="1" applyFont="1" applyAlignment="1">
      <alignment vertical="center"/>
    </xf>
    <xf numFmtId="173" fontId="8" fillId="0" borderId="0" xfId="0" applyNumberFormat="1" applyFont="1" applyAlignment="1">
      <alignment vertical="center"/>
    </xf>
    <xf numFmtId="170" fontId="8" fillId="0" borderId="0" xfId="0" applyNumberFormat="1" applyFont="1" applyAlignment="1">
      <alignment vertical="center"/>
    </xf>
    <xf numFmtId="168" fontId="8" fillId="0" borderId="0" xfId="0" applyNumberFormat="1" applyFont="1" applyAlignment="1">
      <alignment vertical="center"/>
    </xf>
    <xf numFmtId="173" fontId="8" fillId="0" borderId="0" xfId="1" applyNumberFormat="1" applyFont="1" applyBorder="1" applyAlignment="1">
      <alignment vertical="center" shrinkToFit="1"/>
    </xf>
    <xf numFmtId="173" fontId="8" fillId="0" borderId="0" xfId="1" applyNumberFormat="1" applyFont="1" applyBorder="1" applyAlignment="1">
      <alignment vertical="center"/>
    </xf>
    <xf numFmtId="167" fontId="8" fillId="0" borderId="22" xfId="0" applyNumberFormat="1" applyFont="1" applyBorder="1" applyAlignment="1">
      <alignment vertical="center"/>
    </xf>
    <xf numFmtId="169" fontId="8" fillId="0" borderId="0" xfId="0" applyNumberFormat="1" applyFont="1" applyAlignment="1">
      <alignment vertical="center"/>
    </xf>
    <xf numFmtId="173" fontId="8" fillId="0" borderId="21" xfId="0" applyNumberFormat="1" applyFont="1" applyBorder="1" applyAlignment="1">
      <alignment vertical="center"/>
    </xf>
    <xf numFmtId="168" fontId="8" fillId="0" borderId="4" xfId="0" applyNumberFormat="1" applyFont="1" applyBorder="1" applyAlignment="1">
      <alignment vertical="center"/>
    </xf>
    <xf numFmtId="169" fontId="8" fillId="0" borderId="4" xfId="0" applyNumberFormat="1" applyFont="1" applyBorder="1" applyAlignment="1">
      <alignment vertical="center"/>
    </xf>
    <xf numFmtId="167" fontId="8" fillId="0" borderId="0" xfId="0" applyNumberFormat="1" applyFont="1" applyAlignment="1">
      <alignment vertical="center" shrinkToFit="1"/>
    </xf>
    <xf numFmtId="168" fontId="8" fillId="0" borderId="22" xfId="0" applyNumberFormat="1" applyFont="1" applyBorder="1" applyAlignment="1">
      <alignment vertical="center"/>
    </xf>
    <xf numFmtId="167" fontId="8" fillId="0" borderId="21" xfId="0" applyNumberFormat="1" applyFont="1" applyBorder="1" applyAlignment="1">
      <alignment vertical="center"/>
    </xf>
    <xf numFmtId="4" fontId="8" fillId="0" borderId="0" xfId="1" applyNumberFormat="1" applyFont="1" applyAlignment="1">
      <alignment horizontal="right" vertical="center"/>
    </xf>
    <xf numFmtId="4" fontId="8" fillId="3" borderId="2" xfId="1" applyNumberFormat="1" applyFont="1" applyFill="1" applyBorder="1" applyAlignment="1">
      <alignment horizontal="right" vertical="center"/>
    </xf>
    <xf numFmtId="4" fontId="8" fillId="0" borderId="2" xfId="1" applyNumberFormat="1" applyFont="1" applyBorder="1" applyAlignment="1">
      <alignment horizontal="right" vertical="center"/>
    </xf>
    <xf numFmtId="4" fontId="8" fillId="0" borderId="0" xfId="1" applyNumberFormat="1" applyFont="1" applyBorder="1" applyAlignment="1">
      <alignment horizontal="right" vertical="center"/>
    </xf>
    <xf numFmtId="0" fontId="8" fillId="0" borderId="0" xfId="0" applyFont="1"/>
    <xf numFmtId="0" fontId="8" fillId="0" borderId="15" xfId="0" applyFont="1" applyBorder="1" applyAlignment="1">
      <alignment horizontal="center"/>
    </xf>
    <xf numFmtId="3" fontId="8" fillId="0" borderId="16" xfId="1" applyNumberFormat="1" applyFont="1" applyBorder="1" applyAlignment="1">
      <alignment horizontal="right" vertical="center"/>
    </xf>
    <xf numFmtId="3" fontId="8" fillId="0" borderId="15" xfId="1" applyNumberFormat="1" applyFont="1" applyBorder="1" applyAlignment="1">
      <alignment horizontal="right" vertical="center"/>
    </xf>
    <xf numFmtId="3" fontId="8" fillId="0" borderId="0" xfId="1" applyNumberFormat="1" applyFont="1" applyBorder="1" applyAlignment="1">
      <alignment horizontal="right" vertical="center"/>
    </xf>
    <xf numFmtId="3" fontId="8" fillId="0" borderId="19" xfId="1" applyNumberFormat="1" applyFont="1" applyBorder="1" applyAlignment="1">
      <alignment horizontal="right" vertical="center"/>
    </xf>
    <xf numFmtId="165" fontId="8" fillId="0" borderId="16" xfId="1" applyNumberFormat="1" applyFont="1" applyBorder="1" applyAlignment="1">
      <alignment horizontal="right" vertical="center"/>
    </xf>
    <xf numFmtId="165" fontId="8" fillId="0" borderId="0" xfId="1" applyNumberFormat="1" applyFont="1" applyBorder="1" applyAlignment="1">
      <alignment horizontal="right" vertical="center"/>
    </xf>
    <xf numFmtId="3" fontId="8" fillId="0" borderId="15" xfId="0" applyNumberFormat="1" applyFont="1" applyBorder="1" applyAlignment="1">
      <alignment horizontal="center"/>
    </xf>
    <xf numFmtId="3" fontId="8" fillId="0" borderId="18" xfId="1" applyNumberFormat="1" applyFont="1" applyBorder="1" applyAlignment="1">
      <alignment horizontal="right" vertical="center"/>
    </xf>
    <xf numFmtId="0" fontId="8" fillId="0" borderId="2" xfId="3" applyFont="1" applyBorder="1" applyAlignment="1">
      <alignment horizontal="center" vertical="center"/>
    </xf>
    <xf numFmtId="165" fontId="8" fillId="0" borderId="0" xfId="2" applyNumberFormat="1" applyFont="1" applyAlignment="1">
      <alignment horizontal="center" vertical="center"/>
    </xf>
    <xf numFmtId="4" fontId="8" fillId="0" borderId="0" xfId="2" applyNumberFormat="1" applyFont="1" applyAlignment="1">
      <alignment horizontal="center" vertical="center"/>
    </xf>
    <xf numFmtId="4" fontId="8" fillId="0" borderId="0" xfId="3" applyNumberFormat="1" applyFont="1" applyAlignment="1">
      <alignment horizontal="center"/>
    </xf>
    <xf numFmtId="4" fontId="8" fillId="0" borderId="2" xfId="2" applyNumberFormat="1" applyFont="1" applyBorder="1" applyAlignment="1">
      <alignment horizontal="center" vertical="center"/>
    </xf>
    <xf numFmtId="4" fontId="8" fillId="0" borderId="2" xfId="3" applyNumberFormat="1" applyFont="1" applyBorder="1" applyAlignment="1">
      <alignment horizontal="center"/>
    </xf>
    <xf numFmtId="4" fontId="8" fillId="0" borderId="2" xfId="2" applyNumberFormat="1" applyFont="1" applyBorder="1" applyAlignment="1">
      <alignment horizontal="right" vertical="center"/>
    </xf>
    <xf numFmtId="4" fontId="8" fillId="0" borderId="0" xfId="2" applyNumberFormat="1" applyFont="1" applyAlignment="1">
      <alignment horizontal="right" vertical="center"/>
    </xf>
    <xf numFmtId="4" fontId="8" fillId="0" borderId="0" xfId="2" applyNumberFormat="1" applyFont="1" applyBorder="1" applyAlignment="1">
      <alignment horizontal="right" vertical="center"/>
    </xf>
    <xf numFmtId="4" fontId="8" fillId="0" borderId="1" xfId="2" applyNumberFormat="1" applyFont="1" applyBorder="1" applyAlignment="1">
      <alignment horizontal="right" vertical="center"/>
    </xf>
    <xf numFmtId="4" fontId="8" fillId="3" borderId="0" xfId="2" applyNumberFormat="1" applyFont="1" applyFill="1" applyBorder="1" applyAlignment="1">
      <alignment vertical="center"/>
    </xf>
    <xf numFmtId="3" fontId="8" fillId="2" borderId="15" xfId="0" applyNumberFormat="1" applyFont="1" applyFill="1" applyBorder="1" applyAlignment="1">
      <alignment horizontal="center"/>
    </xf>
    <xf numFmtId="0" fontId="37" fillId="0" borderId="0" xfId="6" applyAlignment="1">
      <alignment horizontal="center"/>
    </xf>
    <xf numFmtId="0" fontId="40" fillId="0" borderId="0" xfId="6" applyFont="1" applyAlignment="1">
      <alignment vertical="center"/>
    </xf>
    <xf numFmtId="0" fontId="39" fillId="0" borderId="0" xfId="6" applyFont="1" applyAlignment="1">
      <alignment horizontal="center" vertical="center"/>
    </xf>
    <xf numFmtId="0" fontId="39" fillId="0" borderId="11" xfId="6" applyFont="1" applyBorder="1" applyAlignment="1">
      <alignment horizontal="center" vertical="center"/>
    </xf>
    <xf numFmtId="0" fontId="39" fillId="0" borderId="19" xfId="6" applyFont="1" applyBorder="1" applyAlignment="1">
      <alignment horizontal="center" vertical="center"/>
    </xf>
    <xf numFmtId="0" fontId="39" fillId="0" borderId="24" xfId="6" applyFont="1" applyBorder="1" applyAlignment="1">
      <alignment horizontal="center" vertical="center"/>
    </xf>
    <xf numFmtId="0" fontId="39" fillId="0" borderId="17" xfId="6" applyFont="1" applyBorder="1" applyAlignment="1">
      <alignment horizontal="center" vertical="center"/>
    </xf>
    <xf numFmtId="175" fontId="39" fillId="0" borderId="25" xfId="7" applyNumberFormat="1" applyFont="1" applyFill="1" applyBorder="1" applyAlignment="1">
      <alignment vertical="center"/>
    </xf>
    <xf numFmtId="165" fontId="39" fillId="0" borderId="25" xfId="7" applyNumberFormat="1" applyFont="1" applyFill="1" applyBorder="1" applyAlignment="1">
      <alignment horizontal="right" vertical="center"/>
    </xf>
    <xf numFmtId="165" fontId="39" fillId="0" borderId="25" xfId="7" applyNumberFormat="1" applyFont="1" applyFill="1" applyBorder="1" applyAlignment="1">
      <alignment horizontal="center" vertical="center"/>
    </xf>
    <xf numFmtId="0" fontId="39" fillId="0" borderId="0" xfId="6" applyFont="1" applyAlignment="1">
      <alignment vertical="center"/>
    </xf>
    <xf numFmtId="165" fontId="40" fillId="0" borderId="29" xfId="7" applyNumberFormat="1" applyFont="1" applyFill="1" applyBorder="1" applyAlignment="1">
      <alignment horizontal="center" vertical="center"/>
    </xf>
    <xf numFmtId="175" fontId="39" fillId="0" borderId="26" xfId="7" applyNumberFormat="1" applyFont="1" applyFill="1" applyBorder="1" applyAlignment="1">
      <alignment vertical="center"/>
    </xf>
    <xf numFmtId="165" fontId="39" fillId="0" borderId="26" xfId="7" applyNumberFormat="1" applyFont="1" applyFill="1" applyBorder="1" applyAlignment="1">
      <alignment horizontal="right" vertical="center"/>
    </xf>
    <xf numFmtId="165" fontId="39" fillId="0" borderId="26" xfId="7" applyNumberFormat="1" applyFont="1" applyFill="1" applyBorder="1" applyAlignment="1">
      <alignment horizontal="center" vertical="center"/>
    </xf>
    <xf numFmtId="165" fontId="40" fillId="0" borderId="30" xfId="7" applyNumberFormat="1" applyFont="1" applyFill="1" applyBorder="1" applyAlignment="1">
      <alignment horizontal="center" vertical="center"/>
    </xf>
    <xf numFmtId="175" fontId="40" fillId="0" borderId="26" xfId="7" applyNumberFormat="1" applyFont="1" applyFill="1" applyBorder="1" applyAlignment="1">
      <alignment vertical="center"/>
    </xf>
    <xf numFmtId="165" fontId="40" fillId="0" borderId="26" xfId="7" applyNumberFormat="1" applyFont="1" applyFill="1" applyBorder="1" applyAlignment="1">
      <alignment horizontal="right" vertical="center"/>
    </xf>
    <xf numFmtId="165" fontId="40" fillId="0" borderId="26" xfId="7" applyNumberFormat="1" applyFont="1" applyFill="1" applyBorder="1" applyAlignment="1">
      <alignment horizontal="center" vertical="center"/>
    </xf>
    <xf numFmtId="165" fontId="40" fillId="0" borderId="0" xfId="6" applyNumberFormat="1" applyFont="1" applyAlignment="1">
      <alignment vertical="center"/>
    </xf>
    <xf numFmtId="175" fontId="40" fillId="0" borderId="26" xfId="7" applyNumberFormat="1" applyFont="1" applyFill="1" applyBorder="1" applyAlignment="1">
      <alignment horizontal="right" vertical="center"/>
    </xf>
    <xf numFmtId="4" fontId="40" fillId="0" borderId="26" xfId="7" applyNumberFormat="1" applyFont="1" applyFill="1" applyBorder="1" applyAlignment="1">
      <alignment horizontal="center" vertical="center"/>
    </xf>
    <xf numFmtId="175" fontId="39" fillId="0" borderId="27" xfId="7" applyNumberFormat="1" applyFont="1" applyFill="1" applyBorder="1" applyAlignment="1">
      <alignment vertical="center"/>
    </xf>
    <xf numFmtId="175" fontId="39" fillId="0" borderId="27" xfId="7" applyNumberFormat="1" applyFont="1" applyFill="1" applyBorder="1" applyAlignment="1">
      <alignment horizontal="right" vertical="center"/>
    </xf>
    <xf numFmtId="165" fontId="39" fillId="0" borderId="27" xfId="7" applyNumberFormat="1" applyFont="1" applyFill="1" applyBorder="1" applyAlignment="1">
      <alignment horizontal="center" vertical="center"/>
    </xf>
    <xf numFmtId="43" fontId="40" fillId="0" borderId="0" xfId="6" applyNumberFormat="1" applyFont="1" applyAlignment="1">
      <alignment vertical="center"/>
    </xf>
    <xf numFmtId="43" fontId="40" fillId="4" borderId="0" xfId="6" applyNumberFormat="1" applyFont="1" applyFill="1" applyAlignment="1">
      <alignment vertical="center"/>
    </xf>
    <xf numFmtId="0" fontId="37" fillId="2" borderId="0" xfId="6" applyFill="1" applyAlignment="1">
      <alignment horizontal="center"/>
    </xf>
    <xf numFmtId="165" fontId="37" fillId="0" borderId="0" xfId="1" applyNumberFormat="1" applyFont="1"/>
    <xf numFmtId="0" fontId="44" fillId="0" borderId="0" xfId="0" applyFont="1" applyAlignment="1">
      <alignment horizontal="left"/>
    </xf>
    <xf numFmtId="0" fontId="2" fillId="0" borderId="0" xfId="6" applyFont="1" applyAlignment="1">
      <alignment horizontal="center"/>
    </xf>
    <xf numFmtId="0" fontId="2" fillId="5" borderId="0" xfId="6" applyFont="1" applyFill="1" applyAlignment="1">
      <alignment horizontal="center"/>
    </xf>
    <xf numFmtId="0" fontId="2" fillId="0" borderId="0" xfId="6" applyFont="1"/>
    <xf numFmtId="0" fontId="17" fillId="0" borderId="0" xfId="0" applyFont="1" applyAlignment="1">
      <alignment horizontal="center" vertical="center"/>
    </xf>
    <xf numFmtId="0" fontId="39" fillId="0" borderId="12" xfId="6" applyFont="1" applyBorder="1" applyAlignment="1">
      <alignment horizontal="center" vertical="center"/>
    </xf>
    <xf numFmtId="0" fontId="39" fillId="0" borderId="13" xfId="6" applyFont="1" applyBorder="1" applyAlignment="1">
      <alignment horizontal="center" vertical="center"/>
    </xf>
    <xf numFmtId="0" fontId="39" fillId="0" borderId="2" xfId="6" applyFont="1" applyBorder="1" applyAlignment="1">
      <alignment horizontal="center" vertical="center"/>
    </xf>
    <xf numFmtId="0" fontId="39" fillId="0" borderId="14" xfId="6" applyFont="1" applyBorder="1" applyAlignment="1">
      <alignment horizontal="center" vertical="center"/>
    </xf>
    <xf numFmtId="0" fontId="39" fillId="0" borderId="0" xfId="6" applyFont="1" applyAlignment="1">
      <alignment horizontal="center" vertical="center"/>
    </xf>
    <xf numFmtId="0" fontId="43" fillId="0" borderId="0" xfId="6" applyFont="1" applyAlignment="1">
      <alignment horizontal="center" vertical="center" wrapText="1"/>
    </xf>
    <xf numFmtId="0" fontId="39" fillId="0" borderId="11" xfId="6" applyFont="1" applyBorder="1" applyAlignment="1">
      <alignment horizontal="center" vertical="center" wrapText="1" shrinkToFit="1"/>
    </xf>
    <xf numFmtId="0" fontId="39" fillId="0" borderId="23" xfId="6" applyFont="1" applyBorder="1" applyAlignment="1">
      <alignment horizontal="center" vertical="center" wrapText="1" shrinkToFit="1"/>
    </xf>
    <xf numFmtId="0" fontId="39" fillId="0" borderId="24" xfId="6" applyFont="1" applyBorder="1" applyAlignment="1">
      <alignment horizontal="center" vertical="center" wrapText="1" shrinkToFit="1"/>
    </xf>
    <xf numFmtId="0" fontId="11" fillId="0" borderId="0" xfId="0" applyFont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1" fillId="0" borderId="0" xfId="3" applyFont="1" applyAlignment="1">
      <alignment horizontal="center"/>
    </xf>
    <xf numFmtId="0" fontId="22" fillId="0" borderId="6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19" fillId="0" borderId="0" xfId="3" applyFont="1" applyAlignment="1">
      <alignment horizontal="center" vertical="center"/>
    </xf>
    <xf numFmtId="0" fontId="27" fillId="0" borderId="0" xfId="3" applyFont="1" applyAlignment="1">
      <alignment horizontal="center"/>
    </xf>
    <xf numFmtId="0" fontId="12" fillId="0" borderId="6" xfId="3" applyFont="1" applyBorder="1" applyAlignment="1">
      <alignment horizontal="right" vertical="center"/>
    </xf>
    <xf numFmtId="0" fontId="22" fillId="0" borderId="6" xfId="3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0" xfId="0" applyFont="1" applyBorder="1" applyAlignment="1">
      <alignment horizontal="center"/>
    </xf>
  </cellXfs>
  <cellStyles count="15">
    <cellStyle name="Comma" xfId="1" builtinId="3"/>
    <cellStyle name="Comma 2" xfId="2" xr:uid="{00000000-0005-0000-0000-000001000000}"/>
    <cellStyle name="Comma 3" xfId="7" xr:uid="{00000000-0005-0000-0000-000002000000}"/>
    <cellStyle name="Comma 4" xfId="9" xr:uid="{00000000-0005-0000-0000-000003000000}"/>
    <cellStyle name="Comma 5" xfId="14" xr:uid="{A26C123B-CEB8-4600-A6DB-D662CC9A8F4B}"/>
    <cellStyle name="GridDataValuecolumn10" xfId="11" xr:uid="{1C55AE5F-CD20-D74B-9E5C-A78C3D58195A}"/>
    <cellStyle name="GridDataValuecolumn7" xfId="12" xr:uid="{18FC6BF7-49B6-F84A-83E4-84D54AE2FA42}"/>
    <cellStyle name="Normal" xfId="0" builtinId="0"/>
    <cellStyle name="Normal 2" xfId="3" xr:uid="{00000000-0005-0000-0000-000006000000}"/>
    <cellStyle name="Normal 3" xfId="4" xr:uid="{00000000-0005-0000-0000-000007000000}"/>
    <cellStyle name="Normal 4" xfId="5" xr:uid="{00000000-0005-0000-0000-000008000000}"/>
    <cellStyle name="Normal 5" xfId="6" xr:uid="{00000000-0005-0000-0000-000009000000}"/>
    <cellStyle name="Normal 6" xfId="8" xr:uid="{00000000-0005-0000-0000-00000A000000}"/>
    <cellStyle name="Normal 7" xfId="10" xr:uid="{00000000-0005-0000-0000-00000B000000}"/>
    <cellStyle name="Normal 8" xfId="13" xr:uid="{570574FE-F623-489F-9ED3-4D717888B905}"/>
  </cellStyles>
  <dxfs count="10"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2.xml"/><Relationship Id="rId13" Type="http://schemas.openxmlformats.org/officeDocument/2006/relationships/worksheet" Target="worksheets/sheet10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chartsheet" Target="chartsheets/sheet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7.xml"/><Relationship Id="rId14" Type="http://schemas.openxmlformats.org/officeDocument/2006/relationships/worksheet" Target="worksheets/sheet1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การส่งออกของไทย ปี 2540 - 2554</a:t>
            </a:r>
          </a:p>
        </c:rich>
      </c:tx>
      <c:layout>
        <c:manualLayout>
          <c:xMode val="edge"/>
          <c:yMode val="edge"/>
          <c:x val="0.23675498274158521"/>
          <c:y val="2.03804347826086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358178053830433E-2"/>
          <c:y val="0.14745762711864407"/>
          <c:w val="0.92236024844719999"/>
          <c:h val="0.78474576271186469"/>
        </c:manualLayout>
      </c:layout>
      <c:lineChart>
        <c:grouping val="standard"/>
        <c:varyColors val="0"/>
        <c:ser>
          <c:idx val="0"/>
          <c:order val="0"/>
          <c:tx>
            <c:strRef>
              <c:f>Sheet2!$B$3</c:f>
              <c:strCache>
                <c:ptCount val="1"/>
                <c:pt idx="0">
                  <c:v>มูลค่า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Sheet2!$A$4:$A$18</c:f>
              <c:numCache>
                <c:formatCode>General</c:formatCode>
                <c:ptCount val="15"/>
                <c:pt idx="0">
                  <c:v>2540</c:v>
                </c:pt>
                <c:pt idx="1">
                  <c:v>2541</c:v>
                </c:pt>
                <c:pt idx="2">
                  <c:v>2542</c:v>
                </c:pt>
                <c:pt idx="3">
                  <c:v>2543</c:v>
                </c:pt>
                <c:pt idx="4">
                  <c:v>2544</c:v>
                </c:pt>
                <c:pt idx="5">
                  <c:v>2545</c:v>
                </c:pt>
                <c:pt idx="6">
                  <c:v>2546</c:v>
                </c:pt>
                <c:pt idx="7">
                  <c:v>2547</c:v>
                </c:pt>
                <c:pt idx="8">
                  <c:v>2548</c:v>
                </c:pt>
                <c:pt idx="9">
                  <c:v>2549</c:v>
                </c:pt>
                <c:pt idx="10">
                  <c:v>2550</c:v>
                </c:pt>
                <c:pt idx="11">
                  <c:v>2551</c:v>
                </c:pt>
                <c:pt idx="12">
                  <c:v>2552</c:v>
                </c:pt>
                <c:pt idx="13">
                  <c:v>2553</c:v>
                </c:pt>
                <c:pt idx="14">
                  <c:v>2554</c:v>
                </c:pt>
              </c:numCache>
            </c:numRef>
          </c:cat>
          <c:val>
            <c:numRef>
              <c:f>Sheet2!$B$4:$B$18</c:f>
              <c:numCache>
                <c:formatCode>#,##0</c:formatCode>
                <c:ptCount val="15"/>
                <c:pt idx="0">
                  <c:v>58334.15</c:v>
                </c:pt>
                <c:pt idx="1">
                  <c:v>54490.07</c:v>
                </c:pt>
                <c:pt idx="2">
                  <c:v>58463.45</c:v>
                </c:pt>
                <c:pt idx="3">
                  <c:v>69624.240000000005</c:v>
                </c:pt>
                <c:pt idx="4">
                  <c:v>65183.23</c:v>
                </c:pt>
                <c:pt idx="5">
                  <c:v>68156.34</c:v>
                </c:pt>
                <c:pt idx="6">
                  <c:v>80040</c:v>
                </c:pt>
                <c:pt idx="7">
                  <c:v>96502.84</c:v>
                </c:pt>
                <c:pt idx="8">
                  <c:v>110937.66</c:v>
                </c:pt>
                <c:pt idx="9">
                  <c:v>129720.42</c:v>
                </c:pt>
                <c:pt idx="10">
                  <c:v>153864.97</c:v>
                </c:pt>
                <c:pt idx="11">
                  <c:v>177775.19</c:v>
                </c:pt>
                <c:pt idx="12">
                  <c:v>0</c:v>
                </c:pt>
                <c:pt idx="13">
                  <c:v>0</c:v>
                </c:pt>
                <c:pt idx="14">
                  <c:v>218749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33-442B-B778-6E60D528F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32736"/>
        <c:axId val="74555776"/>
      </c:lineChart>
      <c:catAx>
        <c:axId val="7093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TH"/>
          </a:p>
        </c:txPr>
        <c:crossAx val="74555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4555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TH"/>
          </a:p>
        </c:txPr>
        <c:crossAx val="70932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TH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25" b="1" i="0" u="none" strike="noStrike" baseline="0">
                <a:solidFill>
                  <a:srgbClr val="000000"/>
                </a:solidFill>
                <a:latin typeface="DilleniaUPC"/>
                <a:ea typeface="DilleniaUPC"/>
                <a:cs typeface="DilleniaUPC"/>
              </a:defRPr>
            </a:pPr>
            <a:r>
              <a:t>การส่งออก นำเข้าและดุลการค้า รายเดือน ปี 2549 - 2554</a:t>
            </a:r>
          </a:p>
        </c:rich>
      </c:tx>
      <c:layout>
        <c:manualLayout>
          <c:xMode val="edge"/>
          <c:yMode val="edge"/>
          <c:x val="0.22563311888089321"/>
          <c:y val="2.04081632653061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057581573896424E-2"/>
          <c:y val="0.19236209335220258"/>
          <c:w val="0.92130518234165049"/>
          <c:h val="0.68741159830268739"/>
        </c:manualLayout>
      </c:layout>
      <c:lineChart>
        <c:grouping val="standard"/>
        <c:varyColors val="0"/>
        <c:ser>
          <c:idx val="0"/>
          <c:order val="0"/>
          <c:tx>
            <c:strRef>
              <c:f>Gtrade47!$B$53</c:f>
              <c:strCache>
                <c:ptCount val="1"/>
                <c:pt idx="0">
                  <c:v>X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strRef>
              <c:f>Gtrade47!$A$54:$A$117</c:f>
              <c:strCache>
                <c:ptCount val="61"/>
                <c:pt idx="0">
                  <c:v>มค 49</c:v>
                </c:pt>
                <c:pt idx="6">
                  <c:v>กค</c:v>
                </c:pt>
                <c:pt idx="12">
                  <c:v>มค 50</c:v>
                </c:pt>
                <c:pt idx="18">
                  <c:v>กค</c:v>
                </c:pt>
                <c:pt idx="24">
                  <c:v>มค 51</c:v>
                </c:pt>
                <c:pt idx="30">
                  <c:v>กค</c:v>
                </c:pt>
                <c:pt idx="36">
                  <c:v>มค 52</c:v>
                </c:pt>
                <c:pt idx="42">
                  <c:v>กค</c:v>
                </c:pt>
                <c:pt idx="48">
                  <c:v>มค 53</c:v>
                </c:pt>
                <c:pt idx="54">
                  <c:v>กค</c:v>
                </c:pt>
                <c:pt idx="60">
                  <c:v>มค 54</c:v>
                </c:pt>
              </c:strCache>
            </c:strRef>
          </c:cat>
          <c:val>
            <c:numRef>
              <c:f>Gtrade47!$B$54:$B$120</c:f>
              <c:numCache>
                <c:formatCode>#,##0.0</c:formatCode>
                <c:ptCount val="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75-4D4A-9617-6E015D793A72}"/>
            </c:ext>
          </c:extLst>
        </c:ser>
        <c:ser>
          <c:idx val="1"/>
          <c:order val="1"/>
          <c:tx>
            <c:strRef>
              <c:f>Gtrade47!$C$53</c:f>
              <c:strCache>
                <c:ptCount val="1"/>
                <c:pt idx="0">
                  <c:v>M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Gtrade47!$A$54:$A$117</c:f>
              <c:strCache>
                <c:ptCount val="61"/>
                <c:pt idx="0">
                  <c:v>มค 49</c:v>
                </c:pt>
                <c:pt idx="6">
                  <c:v>กค</c:v>
                </c:pt>
                <c:pt idx="12">
                  <c:v>มค 50</c:v>
                </c:pt>
                <c:pt idx="18">
                  <c:v>กค</c:v>
                </c:pt>
                <c:pt idx="24">
                  <c:v>มค 51</c:v>
                </c:pt>
                <c:pt idx="30">
                  <c:v>กค</c:v>
                </c:pt>
                <c:pt idx="36">
                  <c:v>มค 52</c:v>
                </c:pt>
                <c:pt idx="42">
                  <c:v>กค</c:v>
                </c:pt>
                <c:pt idx="48">
                  <c:v>มค 53</c:v>
                </c:pt>
                <c:pt idx="54">
                  <c:v>กค</c:v>
                </c:pt>
                <c:pt idx="60">
                  <c:v>มค 54</c:v>
                </c:pt>
              </c:strCache>
            </c:strRef>
          </c:cat>
          <c:val>
            <c:numRef>
              <c:f>Gtrade47!$C$54:$C$120</c:f>
              <c:numCache>
                <c:formatCode>#,##0.0</c:formatCode>
                <c:ptCount val="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75-4D4A-9617-6E015D793A72}"/>
            </c:ext>
          </c:extLst>
        </c:ser>
        <c:ser>
          <c:idx val="2"/>
          <c:order val="2"/>
          <c:tx>
            <c:strRef>
              <c:f>Gtrade47!$D$53</c:f>
              <c:strCache>
                <c:ptCount val="1"/>
                <c:pt idx="0">
                  <c:v>TB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Gtrade47!$A$54:$A$117</c:f>
              <c:strCache>
                <c:ptCount val="61"/>
                <c:pt idx="0">
                  <c:v>มค 49</c:v>
                </c:pt>
                <c:pt idx="6">
                  <c:v>กค</c:v>
                </c:pt>
                <c:pt idx="12">
                  <c:v>มค 50</c:v>
                </c:pt>
                <c:pt idx="18">
                  <c:v>กค</c:v>
                </c:pt>
                <c:pt idx="24">
                  <c:v>มค 51</c:v>
                </c:pt>
                <c:pt idx="30">
                  <c:v>กค</c:v>
                </c:pt>
                <c:pt idx="36">
                  <c:v>มค 52</c:v>
                </c:pt>
                <c:pt idx="42">
                  <c:v>กค</c:v>
                </c:pt>
                <c:pt idx="48">
                  <c:v>มค 53</c:v>
                </c:pt>
                <c:pt idx="54">
                  <c:v>กค</c:v>
                </c:pt>
                <c:pt idx="60">
                  <c:v>มค 54</c:v>
                </c:pt>
              </c:strCache>
            </c:strRef>
          </c:cat>
          <c:val>
            <c:numRef>
              <c:f>Gtrade47!$D$54:$D$120</c:f>
              <c:numCache>
                <c:formatCode>#,##0.0</c:formatCode>
                <c:ptCount val="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75-4D4A-9617-6E015D793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396224"/>
        <c:axId val="75398144"/>
      </c:lineChart>
      <c:catAx>
        <c:axId val="753962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950" b="1" i="0" u="none" strike="noStrike" baseline="0">
                <a:solidFill>
                  <a:srgbClr val="000000"/>
                </a:solidFill>
                <a:latin typeface="DilleniaUPC"/>
                <a:ea typeface="DilleniaUPC"/>
                <a:cs typeface="DilleniaUPC"/>
              </a:defRPr>
            </a:pPr>
            <a:endParaRPr lang="en-TH"/>
          </a:p>
        </c:txPr>
        <c:crossAx val="7539814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75398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950" b="1" i="0" u="none" strike="noStrike" baseline="0">
                <a:solidFill>
                  <a:srgbClr val="000000"/>
                </a:solidFill>
                <a:latin typeface="DilleniaUPC"/>
                <a:ea typeface="DilleniaUPC"/>
                <a:cs typeface="DilleniaUPC"/>
              </a:defRPr>
            </a:pPr>
            <a:endParaRPr lang="en-TH"/>
          </a:p>
        </c:txPr>
        <c:crossAx val="75396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DilleniaUPC"/>
          <a:ea typeface="DilleniaUPC"/>
          <a:cs typeface="DilleniaUPC"/>
        </a:defRPr>
      </a:pPr>
      <a:endParaRPr lang="en-TH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875" b="1" i="0" u="none" strike="noStrike" baseline="0">
                <a:solidFill>
                  <a:srgbClr val="000000"/>
                </a:solidFill>
                <a:latin typeface="DilleniaUPC"/>
                <a:ea typeface="DilleniaUPC"/>
                <a:cs typeface="DilleniaUPC"/>
              </a:defRPr>
            </a:pPr>
            <a:r>
              <a:t>การส่งออกของไทย รายเดือน ปี 2550 - 2553</a:t>
            </a:r>
          </a:p>
        </c:rich>
      </c:tx>
      <c:layout>
        <c:manualLayout>
          <c:xMode val="edge"/>
          <c:yMode val="edge"/>
          <c:x val="0.22256330180095671"/>
          <c:y val="2.04081632653061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654510556622024E-2"/>
          <c:y val="0.22489391796322489"/>
          <c:w val="0.91170825335896477"/>
          <c:h val="0.64356435643564369"/>
        </c:manualLayout>
      </c:layout>
      <c:lineChart>
        <c:grouping val="standard"/>
        <c:varyColors val="0"/>
        <c:ser>
          <c:idx val="1"/>
          <c:order val="0"/>
          <c:tx>
            <c:strRef>
              <c:f>'trade g'!$J$3</c:f>
              <c:strCache>
                <c:ptCount val="1"/>
                <c:pt idx="0">
                  <c:v>2551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ysDash"/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'trade g'!$A$4:$A$15</c:f>
              <c:strCache>
                <c:ptCount val="12"/>
                <c:pt idx="0">
                  <c:v>มค</c:v>
                </c:pt>
                <c:pt idx="1">
                  <c:v>กพ</c:v>
                </c:pt>
                <c:pt idx="2">
                  <c:v>มีค</c:v>
                </c:pt>
                <c:pt idx="3">
                  <c:v>เมย</c:v>
                </c:pt>
                <c:pt idx="4">
                  <c:v>พค</c:v>
                </c:pt>
                <c:pt idx="5">
                  <c:v>มิย</c:v>
                </c:pt>
                <c:pt idx="6">
                  <c:v>กค</c:v>
                </c:pt>
                <c:pt idx="7">
                  <c:v>สค</c:v>
                </c:pt>
                <c:pt idx="8">
                  <c:v>กย</c:v>
                </c:pt>
                <c:pt idx="9">
                  <c:v>ตค</c:v>
                </c:pt>
                <c:pt idx="10">
                  <c:v>พย</c:v>
                </c:pt>
                <c:pt idx="11">
                  <c:v>ธค</c:v>
                </c:pt>
              </c:strCache>
            </c:strRef>
          </c:cat>
          <c:val>
            <c:numRef>
              <c:f>'trade g'!$J$4:$J$15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81-4B6E-984E-F8F3E55C2C03}"/>
            </c:ext>
          </c:extLst>
        </c:ser>
        <c:ser>
          <c:idx val="2"/>
          <c:order val="1"/>
          <c:tx>
            <c:strRef>
              <c:f>'trade g'!$K$3</c:f>
              <c:strCache>
                <c:ptCount val="1"/>
                <c:pt idx="0">
                  <c:v>2552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triangle"/>
            <c:size val="12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'trade g'!$A$4:$A$15</c:f>
              <c:strCache>
                <c:ptCount val="12"/>
                <c:pt idx="0">
                  <c:v>มค</c:v>
                </c:pt>
                <c:pt idx="1">
                  <c:v>กพ</c:v>
                </c:pt>
                <c:pt idx="2">
                  <c:v>มีค</c:v>
                </c:pt>
                <c:pt idx="3">
                  <c:v>เมย</c:v>
                </c:pt>
                <c:pt idx="4">
                  <c:v>พค</c:v>
                </c:pt>
                <c:pt idx="5">
                  <c:v>มิย</c:v>
                </c:pt>
                <c:pt idx="6">
                  <c:v>กค</c:v>
                </c:pt>
                <c:pt idx="7">
                  <c:v>สค</c:v>
                </c:pt>
                <c:pt idx="8">
                  <c:v>กย</c:v>
                </c:pt>
                <c:pt idx="9">
                  <c:v>ตค</c:v>
                </c:pt>
                <c:pt idx="10">
                  <c:v>พย</c:v>
                </c:pt>
                <c:pt idx="11">
                  <c:v>ธค</c:v>
                </c:pt>
              </c:strCache>
            </c:strRef>
          </c:cat>
          <c:val>
            <c:numRef>
              <c:f>'trade g'!$K$4:$K$15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81-4B6E-984E-F8F3E55C2C03}"/>
            </c:ext>
          </c:extLst>
        </c:ser>
        <c:ser>
          <c:idx val="3"/>
          <c:order val="2"/>
          <c:tx>
            <c:strRef>
              <c:f>'trade g'!$L$3</c:f>
              <c:strCache>
                <c:ptCount val="1"/>
                <c:pt idx="0">
                  <c:v>2553</c:v>
                </c:pt>
              </c:strCache>
            </c:strRef>
          </c:tx>
          <c:spPr>
            <a:ln w="38100">
              <a:solidFill>
                <a:srgbClr val="FF0000"/>
              </a:solidFill>
              <a:prstDash val="lgDash"/>
            </a:ln>
          </c:spPr>
          <c:marker>
            <c:symbol val="x"/>
            <c:size val="1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'trade g'!$A$4:$A$15</c:f>
              <c:strCache>
                <c:ptCount val="12"/>
                <c:pt idx="0">
                  <c:v>มค</c:v>
                </c:pt>
                <c:pt idx="1">
                  <c:v>กพ</c:v>
                </c:pt>
                <c:pt idx="2">
                  <c:v>มีค</c:v>
                </c:pt>
                <c:pt idx="3">
                  <c:v>เมย</c:v>
                </c:pt>
                <c:pt idx="4">
                  <c:v>พค</c:v>
                </c:pt>
                <c:pt idx="5">
                  <c:v>มิย</c:v>
                </c:pt>
                <c:pt idx="6">
                  <c:v>กค</c:v>
                </c:pt>
                <c:pt idx="7">
                  <c:v>สค</c:v>
                </c:pt>
                <c:pt idx="8">
                  <c:v>กย</c:v>
                </c:pt>
                <c:pt idx="9">
                  <c:v>ตค</c:v>
                </c:pt>
                <c:pt idx="10">
                  <c:v>พย</c:v>
                </c:pt>
                <c:pt idx="11">
                  <c:v>ธค</c:v>
                </c:pt>
              </c:strCache>
            </c:strRef>
          </c:cat>
          <c:val>
            <c:numRef>
              <c:f>'trade g'!$L$4:$L$15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81-4B6E-984E-F8F3E55C2C03}"/>
            </c:ext>
          </c:extLst>
        </c:ser>
        <c:ser>
          <c:idx val="4"/>
          <c:order val="3"/>
          <c:tx>
            <c:strRef>
              <c:f>'trade g'!#REF!</c:f>
              <c:strCache>
                <c:ptCount val="1"/>
                <c:pt idx="0">
                  <c:v>#REF!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star"/>
            <c:size val="9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'trade g'!$A$4:$A$15</c:f>
              <c:strCache>
                <c:ptCount val="12"/>
                <c:pt idx="0">
                  <c:v>มค</c:v>
                </c:pt>
                <c:pt idx="1">
                  <c:v>กพ</c:v>
                </c:pt>
                <c:pt idx="2">
                  <c:v>มีค</c:v>
                </c:pt>
                <c:pt idx="3">
                  <c:v>เมย</c:v>
                </c:pt>
                <c:pt idx="4">
                  <c:v>พค</c:v>
                </c:pt>
                <c:pt idx="5">
                  <c:v>มิย</c:v>
                </c:pt>
                <c:pt idx="6">
                  <c:v>กค</c:v>
                </c:pt>
                <c:pt idx="7">
                  <c:v>สค</c:v>
                </c:pt>
                <c:pt idx="8">
                  <c:v>กย</c:v>
                </c:pt>
                <c:pt idx="9">
                  <c:v>ตค</c:v>
                </c:pt>
                <c:pt idx="10">
                  <c:v>พย</c:v>
                </c:pt>
                <c:pt idx="11">
                  <c:v>ธค</c:v>
                </c:pt>
              </c:strCache>
            </c:strRef>
          </c:cat>
          <c:val>
            <c:numRef>
              <c:f>'trade g'!#REF!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81-4B6E-984E-F8F3E55C2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842688"/>
        <c:axId val="141849344"/>
      </c:lineChart>
      <c:catAx>
        <c:axId val="14184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DilleniaUPC"/>
                <a:ea typeface="DilleniaUPC"/>
                <a:cs typeface="DilleniaUPC"/>
              </a:defRPr>
            </a:pPr>
            <a:endParaRPr lang="en-TH"/>
          </a:p>
        </c:txPr>
        <c:crossAx val="14184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1849344"/>
        <c:scaling>
          <c:orientation val="minMax"/>
          <c:min val="8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DilleniaUPC"/>
                <a:ea typeface="DilleniaUPC"/>
                <a:cs typeface="DilleniaUPC"/>
              </a:defRPr>
            </a:pPr>
            <a:endParaRPr lang="en-TH"/>
          </a:p>
        </c:txPr>
        <c:crossAx val="1418426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DilleniaUPC"/>
          <a:ea typeface="DilleniaUPC"/>
          <a:cs typeface="DilleniaUPC"/>
        </a:defRPr>
      </a:pPr>
      <a:endParaRPr lang="en-TH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02428350483611"/>
          <c:y val="0.16129067542657977"/>
          <c:w val="0.76265194839272465"/>
          <c:h val="0.52329863582845881"/>
        </c:manualLayout>
      </c:layout>
      <c:lineChart>
        <c:grouping val="standard"/>
        <c:varyColors val="0"/>
        <c:ser>
          <c:idx val="0"/>
          <c:order val="0"/>
          <c:tx>
            <c:strRef>
              <c:f>'trade g'!$J$3</c:f>
              <c:strCache>
                <c:ptCount val="1"/>
                <c:pt idx="0">
                  <c:v>2551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'trade g'!$A$4:$A$15</c:f>
              <c:strCache>
                <c:ptCount val="12"/>
                <c:pt idx="0">
                  <c:v>มค</c:v>
                </c:pt>
                <c:pt idx="1">
                  <c:v>กพ</c:v>
                </c:pt>
                <c:pt idx="2">
                  <c:v>มีค</c:v>
                </c:pt>
                <c:pt idx="3">
                  <c:v>เมย</c:v>
                </c:pt>
                <c:pt idx="4">
                  <c:v>พค</c:v>
                </c:pt>
                <c:pt idx="5">
                  <c:v>มิย</c:v>
                </c:pt>
                <c:pt idx="6">
                  <c:v>กค</c:v>
                </c:pt>
                <c:pt idx="7">
                  <c:v>สค</c:v>
                </c:pt>
                <c:pt idx="8">
                  <c:v>กย</c:v>
                </c:pt>
                <c:pt idx="9">
                  <c:v>ตค</c:v>
                </c:pt>
                <c:pt idx="10">
                  <c:v>พย</c:v>
                </c:pt>
                <c:pt idx="11">
                  <c:v>ธค</c:v>
                </c:pt>
              </c:strCache>
            </c:strRef>
          </c:cat>
          <c:val>
            <c:numRef>
              <c:f>'trade g'!$J$4:$J$15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B-414C-A9C5-CD761422D950}"/>
            </c:ext>
          </c:extLst>
        </c:ser>
        <c:ser>
          <c:idx val="1"/>
          <c:order val="1"/>
          <c:tx>
            <c:strRef>
              <c:f>'trade g'!$K$3</c:f>
              <c:strCache>
                <c:ptCount val="1"/>
                <c:pt idx="0">
                  <c:v>2552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'trade g'!$A$4:$A$15</c:f>
              <c:strCache>
                <c:ptCount val="12"/>
                <c:pt idx="0">
                  <c:v>มค</c:v>
                </c:pt>
                <c:pt idx="1">
                  <c:v>กพ</c:v>
                </c:pt>
                <c:pt idx="2">
                  <c:v>มีค</c:v>
                </c:pt>
                <c:pt idx="3">
                  <c:v>เมย</c:v>
                </c:pt>
                <c:pt idx="4">
                  <c:v>พค</c:v>
                </c:pt>
                <c:pt idx="5">
                  <c:v>มิย</c:v>
                </c:pt>
                <c:pt idx="6">
                  <c:v>กค</c:v>
                </c:pt>
                <c:pt idx="7">
                  <c:v>สค</c:v>
                </c:pt>
                <c:pt idx="8">
                  <c:v>กย</c:v>
                </c:pt>
                <c:pt idx="9">
                  <c:v>ตค</c:v>
                </c:pt>
                <c:pt idx="10">
                  <c:v>พย</c:v>
                </c:pt>
                <c:pt idx="11">
                  <c:v>ธค</c:v>
                </c:pt>
              </c:strCache>
            </c:strRef>
          </c:cat>
          <c:val>
            <c:numRef>
              <c:f>'trade g'!$K$4:$K$15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B-414C-A9C5-CD761422D950}"/>
            </c:ext>
          </c:extLst>
        </c:ser>
        <c:ser>
          <c:idx val="2"/>
          <c:order val="2"/>
          <c:tx>
            <c:strRef>
              <c:f>'trade g'!$L$3</c:f>
              <c:strCache>
                <c:ptCount val="1"/>
                <c:pt idx="0">
                  <c:v>2553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'trade g'!$A$4:$A$15</c:f>
              <c:strCache>
                <c:ptCount val="12"/>
                <c:pt idx="0">
                  <c:v>มค</c:v>
                </c:pt>
                <c:pt idx="1">
                  <c:v>กพ</c:v>
                </c:pt>
                <c:pt idx="2">
                  <c:v>มีค</c:v>
                </c:pt>
                <c:pt idx="3">
                  <c:v>เมย</c:v>
                </c:pt>
                <c:pt idx="4">
                  <c:v>พค</c:v>
                </c:pt>
                <c:pt idx="5">
                  <c:v>มิย</c:v>
                </c:pt>
                <c:pt idx="6">
                  <c:v>กค</c:v>
                </c:pt>
                <c:pt idx="7">
                  <c:v>สค</c:v>
                </c:pt>
                <c:pt idx="8">
                  <c:v>กย</c:v>
                </c:pt>
                <c:pt idx="9">
                  <c:v>ตค</c:v>
                </c:pt>
                <c:pt idx="10">
                  <c:v>พย</c:v>
                </c:pt>
                <c:pt idx="11">
                  <c:v>ธค</c:v>
                </c:pt>
              </c:strCache>
            </c:strRef>
          </c:cat>
          <c:val>
            <c:numRef>
              <c:f>'trade g'!$L$4:$L$15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5B-414C-A9C5-CD761422D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688000"/>
        <c:axId val="74689920"/>
      </c:lineChart>
      <c:catAx>
        <c:axId val="7468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DilleniaUPC"/>
                <a:ea typeface="DilleniaUPC"/>
                <a:cs typeface="DilleniaUPC"/>
              </a:defRPr>
            </a:pPr>
            <a:endParaRPr lang="en-TH"/>
          </a:p>
        </c:txPr>
        <c:crossAx val="746899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74689920"/>
        <c:scaling>
          <c:orientation val="minMax"/>
          <c:max val="18000"/>
          <c:min val="9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DilleniaUPC"/>
                <a:ea typeface="DilleniaUPC"/>
                <a:cs typeface="DilleniaUPC"/>
              </a:defRPr>
            </a:pPr>
            <a:endParaRPr lang="en-TH"/>
          </a:p>
        </c:txPr>
        <c:crossAx val="74688000"/>
        <c:crosses val="autoZero"/>
        <c:crossBetween val="between"/>
        <c:majorUnit val="3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8674856907946742"/>
          <c:y val="0.21147000442150021"/>
          <c:w val="0.99156800430062186"/>
          <c:h val="0.634410013264531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10" b="0" i="0" u="none" strike="noStrike" baseline="0">
              <a:solidFill>
                <a:srgbClr val="000000"/>
              </a:solidFill>
              <a:latin typeface="DilleniaUPC"/>
              <a:ea typeface="DilleniaUPC"/>
              <a:cs typeface="DilleniaUPC"/>
            </a:defRPr>
          </a:pPr>
          <a:endParaRPr lang="en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DilleniaUPC"/>
          <a:ea typeface="DilleniaUPC"/>
          <a:cs typeface="DilleniaUPC"/>
        </a:defRPr>
      </a:pPr>
      <a:endParaRPr lang="en-TH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86485680015003"/>
          <c:y val="0.16423430832603444"/>
          <c:w val="0.76570138617786065"/>
          <c:h val="0.52554978664331065"/>
        </c:manualLayout>
      </c:layout>
      <c:lineChart>
        <c:grouping val="standard"/>
        <c:varyColors val="0"/>
        <c:ser>
          <c:idx val="0"/>
          <c:order val="0"/>
          <c:tx>
            <c:strRef>
              <c:f>'trade g'!$J$18</c:f>
              <c:strCache>
                <c:ptCount val="1"/>
                <c:pt idx="0">
                  <c:v>2551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'trade g'!$A$19:$A$30</c:f>
              <c:strCache>
                <c:ptCount val="12"/>
                <c:pt idx="0">
                  <c:v>มค</c:v>
                </c:pt>
                <c:pt idx="1">
                  <c:v>กพ</c:v>
                </c:pt>
                <c:pt idx="2">
                  <c:v>มีค</c:v>
                </c:pt>
                <c:pt idx="3">
                  <c:v>เมย</c:v>
                </c:pt>
                <c:pt idx="4">
                  <c:v>พค</c:v>
                </c:pt>
                <c:pt idx="5">
                  <c:v>มิย</c:v>
                </c:pt>
                <c:pt idx="6">
                  <c:v>กค</c:v>
                </c:pt>
                <c:pt idx="7">
                  <c:v>สค</c:v>
                </c:pt>
                <c:pt idx="8">
                  <c:v>กย</c:v>
                </c:pt>
                <c:pt idx="9">
                  <c:v>ตค</c:v>
                </c:pt>
                <c:pt idx="10">
                  <c:v>พย</c:v>
                </c:pt>
                <c:pt idx="11">
                  <c:v>ธค</c:v>
                </c:pt>
              </c:strCache>
            </c:strRef>
          </c:cat>
          <c:val>
            <c:numRef>
              <c:f>'trade g'!$J$19:$J$30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9-4DBE-8DA3-3E9EF0AFD23A}"/>
            </c:ext>
          </c:extLst>
        </c:ser>
        <c:ser>
          <c:idx val="1"/>
          <c:order val="1"/>
          <c:tx>
            <c:strRef>
              <c:f>'trade g'!$K$18</c:f>
              <c:strCache>
                <c:ptCount val="1"/>
                <c:pt idx="0">
                  <c:v>2552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'trade g'!$A$19:$A$30</c:f>
              <c:strCache>
                <c:ptCount val="12"/>
                <c:pt idx="0">
                  <c:v>มค</c:v>
                </c:pt>
                <c:pt idx="1">
                  <c:v>กพ</c:v>
                </c:pt>
                <c:pt idx="2">
                  <c:v>มีค</c:v>
                </c:pt>
                <c:pt idx="3">
                  <c:v>เมย</c:v>
                </c:pt>
                <c:pt idx="4">
                  <c:v>พค</c:v>
                </c:pt>
                <c:pt idx="5">
                  <c:v>มิย</c:v>
                </c:pt>
                <c:pt idx="6">
                  <c:v>กค</c:v>
                </c:pt>
                <c:pt idx="7">
                  <c:v>สค</c:v>
                </c:pt>
                <c:pt idx="8">
                  <c:v>กย</c:v>
                </c:pt>
                <c:pt idx="9">
                  <c:v>ตค</c:v>
                </c:pt>
                <c:pt idx="10">
                  <c:v>พย</c:v>
                </c:pt>
                <c:pt idx="11">
                  <c:v>ธค</c:v>
                </c:pt>
              </c:strCache>
            </c:strRef>
          </c:cat>
          <c:val>
            <c:numRef>
              <c:f>'trade g'!$K$19:$K$30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9-4DBE-8DA3-3E9EF0AFD23A}"/>
            </c:ext>
          </c:extLst>
        </c:ser>
        <c:ser>
          <c:idx val="2"/>
          <c:order val="2"/>
          <c:tx>
            <c:strRef>
              <c:f>'trade g'!$L$18</c:f>
              <c:strCache>
                <c:ptCount val="1"/>
                <c:pt idx="0">
                  <c:v>2553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'trade g'!$A$19:$A$30</c:f>
              <c:strCache>
                <c:ptCount val="12"/>
                <c:pt idx="0">
                  <c:v>มค</c:v>
                </c:pt>
                <c:pt idx="1">
                  <c:v>กพ</c:v>
                </c:pt>
                <c:pt idx="2">
                  <c:v>มีค</c:v>
                </c:pt>
                <c:pt idx="3">
                  <c:v>เมย</c:v>
                </c:pt>
                <c:pt idx="4">
                  <c:v>พค</c:v>
                </c:pt>
                <c:pt idx="5">
                  <c:v>มิย</c:v>
                </c:pt>
                <c:pt idx="6">
                  <c:v>กค</c:v>
                </c:pt>
                <c:pt idx="7">
                  <c:v>สค</c:v>
                </c:pt>
                <c:pt idx="8">
                  <c:v>กย</c:v>
                </c:pt>
                <c:pt idx="9">
                  <c:v>ตค</c:v>
                </c:pt>
                <c:pt idx="10">
                  <c:v>พย</c:v>
                </c:pt>
                <c:pt idx="11">
                  <c:v>ธค</c:v>
                </c:pt>
              </c:strCache>
            </c:strRef>
          </c:cat>
          <c:val>
            <c:numRef>
              <c:f>'trade g'!$L$19:$L$30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F9-4DBE-8DA3-3E9EF0AFD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736768"/>
        <c:axId val="74738688"/>
      </c:lineChart>
      <c:catAx>
        <c:axId val="7473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DilleniaUPC"/>
                <a:ea typeface="DilleniaUPC"/>
                <a:cs typeface="DilleniaUPC"/>
              </a:defRPr>
            </a:pPr>
            <a:endParaRPr lang="en-TH"/>
          </a:p>
        </c:txPr>
        <c:crossAx val="74738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4738688"/>
        <c:scaling>
          <c:orientation val="minMax"/>
          <c:max val="18000"/>
          <c:min val="8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DilleniaUPC"/>
                <a:ea typeface="DilleniaUPC"/>
                <a:cs typeface="DilleniaUPC"/>
              </a:defRPr>
            </a:pPr>
            <a:endParaRPr lang="en-TH"/>
          </a:p>
        </c:txPr>
        <c:crossAx val="74736768"/>
        <c:crosses val="autoZero"/>
        <c:crossBetween val="between"/>
        <c:majorUnit val="3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8526680994581197"/>
          <c:y val="0.21897906009924956"/>
          <c:w val="0.98792397327145709"/>
          <c:h val="0.635039370078762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DilleniaUPC"/>
              <a:ea typeface="DilleniaUPC"/>
              <a:cs typeface="DilleniaUPC"/>
            </a:defRPr>
          </a:pPr>
          <a:endParaRPr lang="en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DilleniaUPC"/>
          <a:ea typeface="DilleniaUPC"/>
          <a:cs typeface="DilleniaUPC"/>
        </a:defRPr>
      </a:pPr>
      <a:endParaRPr lang="en-TH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11628430754172"/>
          <c:y val="0.15901149235893319"/>
          <c:w val="0.76755493315094692"/>
          <c:h val="0.53003830786305439"/>
        </c:manualLayout>
      </c:layout>
      <c:lineChart>
        <c:grouping val="standard"/>
        <c:varyColors val="0"/>
        <c:ser>
          <c:idx val="0"/>
          <c:order val="0"/>
          <c:tx>
            <c:strRef>
              <c:f>'trade g'!$J$33</c:f>
              <c:strCache>
                <c:ptCount val="1"/>
                <c:pt idx="0">
                  <c:v>2551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'trade g'!$A$34:$A$45</c:f>
              <c:strCache>
                <c:ptCount val="12"/>
                <c:pt idx="0">
                  <c:v>มค</c:v>
                </c:pt>
                <c:pt idx="1">
                  <c:v>กพ</c:v>
                </c:pt>
                <c:pt idx="2">
                  <c:v>มีค</c:v>
                </c:pt>
                <c:pt idx="3">
                  <c:v>เมย</c:v>
                </c:pt>
                <c:pt idx="4">
                  <c:v>พค</c:v>
                </c:pt>
                <c:pt idx="5">
                  <c:v>มิย</c:v>
                </c:pt>
                <c:pt idx="6">
                  <c:v>กค</c:v>
                </c:pt>
                <c:pt idx="7">
                  <c:v>สค</c:v>
                </c:pt>
                <c:pt idx="8">
                  <c:v>กย</c:v>
                </c:pt>
                <c:pt idx="9">
                  <c:v>ตค</c:v>
                </c:pt>
                <c:pt idx="10">
                  <c:v>พย</c:v>
                </c:pt>
                <c:pt idx="11">
                  <c:v>ธค</c:v>
                </c:pt>
              </c:strCache>
            </c:strRef>
          </c:cat>
          <c:val>
            <c:numRef>
              <c:f>'trade g'!$J$34:$J$45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82-4996-B4F0-8C867ED84C2C}"/>
            </c:ext>
          </c:extLst>
        </c:ser>
        <c:ser>
          <c:idx val="1"/>
          <c:order val="1"/>
          <c:tx>
            <c:strRef>
              <c:f>'trade g'!$K$33</c:f>
              <c:strCache>
                <c:ptCount val="1"/>
                <c:pt idx="0">
                  <c:v>2552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'trade g'!$A$34:$A$45</c:f>
              <c:strCache>
                <c:ptCount val="12"/>
                <c:pt idx="0">
                  <c:v>มค</c:v>
                </c:pt>
                <c:pt idx="1">
                  <c:v>กพ</c:v>
                </c:pt>
                <c:pt idx="2">
                  <c:v>มีค</c:v>
                </c:pt>
                <c:pt idx="3">
                  <c:v>เมย</c:v>
                </c:pt>
                <c:pt idx="4">
                  <c:v>พค</c:v>
                </c:pt>
                <c:pt idx="5">
                  <c:v>มิย</c:v>
                </c:pt>
                <c:pt idx="6">
                  <c:v>กค</c:v>
                </c:pt>
                <c:pt idx="7">
                  <c:v>สค</c:v>
                </c:pt>
                <c:pt idx="8">
                  <c:v>กย</c:v>
                </c:pt>
                <c:pt idx="9">
                  <c:v>ตค</c:v>
                </c:pt>
                <c:pt idx="10">
                  <c:v>พย</c:v>
                </c:pt>
                <c:pt idx="11">
                  <c:v>ธค</c:v>
                </c:pt>
              </c:strCache>
            </c:strRef>
          </c:cat>
          <c:val>
            <c:numRef>
              <c:f>'trade g'!$K$34:$K$45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82-4996-B4F0-8C867ED84C2C}"/>
            </c:ext>
          </c:extLst>
        </c:ser>
        <c:ser>
          <c:idx val="2"/>
          <c:order val="2"/>
          <c:tx>
            <c:strRef>
              <c:f>'trade g'!$L$33</c:f>
              <c:strCache>
                <c:ptCount val="1"/>
                <c:pt idx="0">
                  <c:v>2553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'trade g'!$A$34:$A$45</c:f>
              <c:strCache>
                <c:ptCount val="12"/>
                <c:pt idx="0">
                  <c:v>มค</c:v>
                </c:pt>
                <c:pt idx="1">
                  <c:v>กพ</c:v>
                </c:pt>
                <c:pt idx="2">
                  <c:v>มีค</c:v>
                </c:pt>
                <c:pt idx="3">
                  <c:v>เมย</c:v>
                </c:pt>
                <c:pt idx="4">
                  <c:v>พค</c:v>
                </c:pt>
                <c:pt idx="5">
                  <c:v>มิย</c:v>
                </c:pt>
                <c:pt idx="6">
                  <c:v>กค</c:v>
                </c:pt>
                <c:pt idx="7">
                  <c:v>สค</c:v>
                </c:pt>
                <c:pt idx="8">
                  <c:v>กย</c:v>
                </c:pt>
                <c:pt idx="9">
                  <c:v>ตค</c:v>
                </c:pt>
                <c:pt idx="10">
                  <c:v>พย</c:v>
                </c:pt>
                <c:pt idx="11">
                  <c:v>ธค</c:v>
                </c:pt>
              </c:strCache>
            </c:strRef>
          </c:cat>
          <c:val>
            <c:numRef>
              <c:f>'trade g'!$L$34:$L$45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82-4996-B4F0-8C867ED84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801920"/>
        <c:axId val="74803840"/>
      </c:lineChart>
      <c:catAx>
        <c:axId val="7480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DilleniaUPC"/>
                <a:ea typeface="DilleniaUPC"/>
                <a:cs typeface="DilleniaUPC"/>
              </a:defRPr>
            </a:pPr>
            <a:endParaRPr lang="en-TH"/>
          </a:p>
        </c:txPr>
        <c:crossAx val="74803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4803840"/>
        <c:scaling>
          <c:orientation val="minMax"/>
          <c:max val="4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DilleniaUPC"/>
                <a:ea typeface="DilleniaUPC"/>
                <a:cs typeface="DilleniaUPC"/>
              </a:defRPr>
            </a:pPr>
            <a:endParaRPr lang="en-TH"/>
          </a:p>
        </c:txPr>
        <c:crossAx val="748019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9225229261596539"/>
          <c:y val="0.19081364829396325"/>
          <c:w val="0.99273655411717598"/>
          <c:h val="0.607777097650852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30" b="0" i="0" u="none" strike="noStrike" baseline="0">
              <a:solidFill>
                <a:srgbClr val="000000"/>
              </a:solidFill>
              <a:latin typeface="DilleniaUPC"/>
              <a:ea typeface="DilleniaUPC"/>
              <a:cs typeface="DilleniaUPC"/>
            </a:defRPr>
          </a:pPr>
          <a:endParaRPr lang="en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DilleniaUPC"/>
          <a:ea typeface="DilleniaUPC"/>
          <a:cs typeface="DilleniaUPC"/>
        </a:defRPr>
      </a:pPr>
      <a:endParaRPr lang="en-TH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/>
  <sheetViews>
    <sheetView zoomScale="92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E00-000000000000}">
  <sheetPr/>
  <sheetViews>
    <sheetView zoomScale="90" workbookViewId="0"/>
  </sheetViews>
  <pageMargins left="0.35433070866141736" right="0.35433070866141736" top="0.39370078740157483" bottom="0.39370078740157483" header="0.51181102362204722" footer="0.51181102362204722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000-000000000000}">
  <sheetPr/>
  <sheetViews>
    <sheetView zoomScale="75" workbookViewId="0"/>
  </sheetViews>
  <pageMargins left="0.35433070866141736" right="0.35433070866141736" top="0.39370078740157483" bottom="0.39370078740157483" header="0.51181102362204722" footer="0.51181102362204722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89720" cy="56083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0.0315</cdr:x>
      <cdr:y>0.10825</cdr:y>
    </cdr:from>
    <cdr:to>
      <cdr:x>0.25525</cdr:x>
      <cdr:y>0.16025</cdr:y>
    </cdr:to>
    <cdr:sp macro="" textlink="">
      <cdr:nvSpPr>
        <cdr:cNvPr id="30515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9956" y="576255"/>
          <a:ext cx="2059610" cy="30425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54864" tIns="41148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th-TH" sz="1800" b="0" i="0" strike="noStrike">
              <a:solidFill>
                <a:srgbClr val="000000"/>
              </a:solidFill>
              <a:latin typeface="Arial"/>
            </a:rPr>
            <a:t>ล้านเหรียญสหรัฐฯ</a:t>
          </a:r>
        </a:p>
      </cdr:txBody>
    </cdr:sp>
  </cdr:relSizeAnchor>
  <cdr:relSizeAnchor xmlns:cdr="http://schemas.openxmlformats.org/drawingml/2006/chartDrawing">
    <cdr:from>
      <cdr:x>0.89425</cdr:x>
      <cdr:y>0.1925</cdr:y>
    </cdr:from>
    <cdr:to>
      <cdr:x>0.993</cdr:x>
      <cdr:y>0.24975</cdr:y>
    </cdr:to>
    <cdr:sp macro="" textlink="">
      <cdr:nvSpPr>
        <cdr:cNvPr id="305155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33837" y="1114654"/>
          <a:ext cx="918194" cy="31687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36576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Arial"/>
            </a:rPr>
            <a:t>+12.0%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913620" cy="672084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0.0375</cdr:x>
      <cdr:y>0.12125</cdr:y>
    </cdr:from>
    <cdr:to>
      <cdr:x>0.15575</cdr:x>
      <cdr:y>0.2075</cdr:y>
    </cdr:to>
    <cdr:sp macro="" textlink="">
      <cdr:nvSpPr>
        <cdr:cNvPr id="32358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2332" y="776257"/>
          <a:ext cx="1184017" cy="6166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82296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th-TH" sz="2250" b="1" i="0" strike="noStrike">
              <a:solidFill>
                <a:srgbClr val="000000"/>
              </a:solidFill>
              <a:latin typeface="DilleniaUPC"/>
              <a:cs typeface="DilleniaUPC"/>
            </a:rPr>
            <a:t>ล้าน </a:t>
          </a:r>
          <a:r>
            <a:rPr lang="en-US" sz="2250" b="1" i="0" strike="noStrike">
              <a:solidFill>
                <a:srgbClr val="000000"/>
              </a:solidFill>
              <a:latin typeface="DilleniaUPC"/>
              <a:cs typeface="DilleniaUPC"/>
            </a:rPr>
            <a:t>USD</a:t>
          </a:r>
        </a:p>
      </cdr:txBody>
    </cdr:sp>
  </cdr:relSizeAnchor>
  <cdr:relSizeAnchor xmlns:cdr="http://schemas.openxmlformats.org/drawingml/2006/chartDrawing">
    <cdr:from>
      <cdr:x>0.906</cdr:x>
      <cdr:y>0.229</cdr:y>
    </cdr:from>
    <cdr:to>
      <cdr:x>0.9915</cdr:x>
      <cdr:y>0.2835</cdr:y>
    </cdr:to>
    <cdr:sp macro="" textlink="">
      <cdr:nvSpPr>
        <cdr:cNvPr id="323586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98029" y="1618042"/>
          <a:ext cx="848918" cy="3595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82296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th-TH" sz="2250" b="1" i="0" strike="noStrike">
              <a:solidFill>
                <a:srgbClr val="00FF00"/>
              </a:solidFill>
              <a:latin typeface="DilleniaUPC"/>
              <a:cs typeface="DilleniaUPC"/>
            </a:rPr>
            <a:t>ส่งออก</a:t>
          </a:r>
        </a:p>
      </cdr:txBody>
    </cdr:sp>
  </cdr:relSizeAnchor>
  <cdr:relSizeAnchor xmlns:cdr="http://schemas.openxmlformats.org/drawingml/2006/chartDrawing">
    <cdr:from>
      <cdr:x>0.906</cdr:x>
      <cdr:y>0.44125</cdr:y>
    </cdr:from>
    <cdr:to>
      <cdr:x>0.99175</cdr:x>
      <cdr:y>0.49625</cdr:y>
    </cdr:to>
    <cdr:sp macro="" textlink="">
      <cdr:nvSpPr>
        <cdr:cNvPr id="32358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98029" y="3015977"/>
          <a:ext cx="851400" cy="3646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82296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th-TH" sz="2250" b="1" i="0" strike="noStrike">
              <a:solidFill>
                <a:srgbClr val="FF00FF"/>
              </a:solidFill>
              <a:latin typeface="DilleniaUPC"/>
              <a:cs typeface="DilleniaUPC"/>
            </a:rPr>
            <a:t>นำเข้า</a:t>
          </a:r>
        </a:p>
      </cdr:txBody>
    </cdr:sp>
  </cdr:relSizeAnchor>
  <cdr:relSizeAnchor xmlns:cdr="http://schemas.openxmlformats.org/drawingml/2006/chartDrawing">
    <cdr:from>
      <cdr:x>0.906</cdr:x>
      <cdr:y>0.61125</cdr:y>
    </cdr:from>
    <cdr:to>
      <cdr:x>0.99175</cdr:x>
      <cdr:y>0.66625</cdr:y>
    </cdr:to>
    <cdr:sp macro="" textlink="">
      <cdr:nvSpPr>
        <cdr:cNvPr id="323588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98029" y="4138357"/>
          <a:ext cx="851400" cy="3629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82296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th-TH" sz="2250" b="1" i="0" strike="noStrike">
              <a:solidFill>
                <a:srgbClr val="FF0000"/>
              </a:solidFill>
              <a:latin typeface="DilleniaUPC"/>
              <a:cs typeface="DilleniaUPC"/>
            </a:rPr>
            <a:t>ดุลการค้า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913620" cy="672084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0.86075</cdr:x>
      <cdr:y>0.25575</cdr:y>
    </cdr:from>
    <cdr:to>
      <cdr:x>0.937</cdr:x>
      <cdr:y>0.33625</cdr:y>
    </cdr:to>
    <cdr:sp macro="" textlink="">
      <cdr:nvSpPr>
        <cdr:cNvPr id="27955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33855" y="1868394"/>
          <a:ext cx="776933" cy="5175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54864" tIns="128016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th-TH" sz="3600" b="1" i="0" strike="noStrike">
              <a:solidFill>
                <a:srgbClr val="008000"/>
              </a:solidFill>
              <a:latin typeface="DilleniaUPC"/>
              <a:cs typeface="DilleniaUPC"/>
            </a:rPr>
            <a:t>2553</a:t>
          </a:r>
        </a:p>
      </cdr:txBody>
    </cdr:sp>
  </cdr:relSizeAnchor>
  <cdr:relSizeAnchor xmlns:cdr="http://schemas.openxmlformats.org/drawingml/2006/chartDrawing">
    <cdr:from>
      <cdr:x>0.84675</cdr:x>
      <cdr:y>0.44775</cdr:y>
    </cdr:from>
    <cdr:to>
      <cdr:x>0.92575</cdr:x>
      <cdr:y>0.52825</cdr:y>
    </cdr:to>
    <cdr:sp macro="" textlink="">
      <cdr:nvSpPr>
        <cdr:cNvPr id="279555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44495" y="3110069"/>
          <a:ext cx="767005" cy="5208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54864" tIns="128016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th-TH" sz="3600" b="1" i="0" strike="noStrike">
              <a:solidFill>
                <a:srgbClr val="FF0000"/>
              </a:solidFill>
              <a:latin typeface="DilleniaUPC"/>
              <a:cs typeface="DilleniaUPC"/>
            </a:rPr>
            <a:t>2552</a:t>
          </a:r>
        </a:p>
      </cdr:txBody>
    </cdr:sp>
  </cdr:relSizeAnchor>
  <cdr:relSizeAnchor xmlns:cdr="http://schemas.openxmlformats.org/drawingml/2006/chartDrawing">
    <cdr:from>
      <cdr:x>0.87375</cdr:x>
      <cdr:y>0.66525</cdr:y>
    </cdr:from>
    <cdr:to>
      <cdr:x>0.95225</cdr:x>
      <cdr:y>0.747</cdr:y>
    </cdr:to>
    <cdr:sp macro="" textlink="">
      <cdr:nvSpPr>
        <cdr:cNvPr id="279556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15057" y="4509684"/>
          <a:ext cx="767004" cy="5259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54864" tIns="128016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th-TH" sz="3600" b="1" i="0" strike="noStrike">
              <a:solidFill>
                <a:srgbClr val="0000FF"/>
              </a:solidFill>
              <a:latin typeface="DilleniaUPC"/>
              <a:cs typeface="DilleniaUPC"/>
            </a:rPr>
            <a:t>2551</a:t>
          </a:r>
        </a:p>
      </cdr:txBody>
    </cdr:sp>
  </cdr:relSizeAnchor>
  <cdr:relSizeAnchor xmlns:cdr="http://schemas.openxmlformats.org/drawingml/2006/chartDrawing">
    <cdr:from>
      <cdr:x>0.02675</cdr:x>
      <cdr:y>0.152</cdr:y>
    </cdr:from>
    <cdr:to>
      <cdr:x>0.208</cdr:x>
      <cdr:y>0.24475</cdr:y>
    </cdr:to>
    <cdr:sp macro="" textlink="">
      <cdr:nvSpPr>
        <cdr:cNvPr id="279557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526" y="940918"/>
          <a:ext cx="1774784" cy="5796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54864" tIns="128016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th-TH" sz="3600" b="1" i="0" strike="noStrike">
              <a:solidFill>
                <a:srgbClr val="000000"/>
              </a:solidFill>
              <a:latin typeface="DilleniaUPC"/>
              <a:cs typeface="DilleniaUPC"/>
            </a:rPr>
            <a:t>ล้าน </a:t>
          </a:r>
          <a:r>
            <a:rPr lang="en-US" sz="3600" b="1" i="0" strike="noStrike">
              <a:solidFill>
                <a:srgbClr val="000000"/>
              </a:solidFill>
              <a:latin typeface="DilleniaUPC"/>
              <a:cs typeface="DilleniaUPC"/>
            </a:rPr>
            <a:t>USD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99060</xdr:colOff>
      <xdr:row>0</xdr:row>
      <xdr:rowOff>99060</xdr:rowOff>
    </xdr:from>
    <xdr:to>
      <xdr:col>23</xdr:col>
      <xdr:colOff>388620</xdr:colOff>
      <xdr:row>14</xdr:row>
      <xdr:rowOff>114300</xdr:rowOff>
    </xdr:to>
    <xdr:graphicFrame macro="">
      <xdr:nvGraphicFramePr>
        <xdr:cNvPr id="185624" name="Chart 1">
          <a:extLst>
            <a:ext uri="{FF2B5EF4-FFF2-40B4-BE49-F238E27FC236}">
              <a16:creationId xmlns:a16="http://schemas.microsoft.com/office/drawing/2014/main" id="{00000000-0008-0000-0C00-000018D5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144780</xdr:colOff>
      <xdr:row>15</xdr:row>
      <xdr:rowOff>99060</xdr:rowOff>
    </xdr:from>
    <xdr:to>
      <xdr:col>23</xdr:col>
      <xdr:colOff>419100</xdr:colOff>
      <xdr:row>29</xdr:row>
      <xdr:rowOff>76200</xdr:rowOff>
    </xdr:to>
    <xdr:graphicFrame macro="">
      <xdr:nvGraphicFramePr>
        <xdr:cNvPr id="185625" name="Chart 2">
          <a:extLst>
            <a:ext uri="{FF2B5EF4-FFF2-40B4-BE49-F238E27FC236}">
              <a16:creationId xmlns:a16="http://schemas.microsoft.com/office/drawing/2014/main" id="{00000000-0008-0000-0C00-000019D5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182880</xdr:colOff>
      <xdr:row>30</xdr:row>
      <xdr:rowOff>99060</xdr:rowOff>
    </xdr:from>
    <xdr:to>
      <xdr:col>23</xdr:col>
      <xdr:colOff>441960</xdr:colOff>
      <xdr:row>45</xdr:row>
      <xdr:rowOff>0</xdr:rowOff>
    </xdr:to>
    <xdr:graphicFrame macro="">
      <xdr:nvGraphicFramePr>
        <xdr:cNvPr id="185626" name="Chart 3">
          <a:extLst>
            <a:ext uri="{FF2B5EF4-FFF2-40B4-BE49-F238E27FC236}">
              <a16:creationId xmlns:a16="http://schemas.microsoft.com/office/drawing/2014/main" id="{00000000-0008-0000-0C00-00001AD5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L181"/>
  <sheetViews>
    <sheetView workbookViewId="0">
      <selection sqref="A1:V1"/>
    </sheetView>
  </sheetViews>
  <sheetFormatPr defaultColWidth="9" defaultRowHeight="19.8"/>
  <cols>
    <col min="1" max="1" width="7.625" customWidth="1"/>
    <col min="2" max="3" width="9" hidden="1" customWidth="1"/>
    <col min="4" max="14" width="9.25" hidden="1" customWidth="1"/>
    <col min="15" max="16" width="0" hidden="1" customWidth="1"/>
    <col min="23" max="23" width="1.375" customWidth="1"/>
    <col min="24" max="33" width="5.75" hidden="1" customWidth="1"/>
    <col min="34" max="36" width="6.375" hidden="1" customWidth="1"/>
    <col min="37" max="37" width="6.75" hidden="1" customWidth="1"/>
    <col min="38" max="38" width="6.625" customWidth="1"/>
    <col min="39" max="39" width="2.75" hidden="1" customWidth="1"/>
    <col min="40" max="50" width="5.75" hidden="1" customWidth="1"/>
    <col min="51" max="53" width="6.375" hidden="1" customWidth="1"/>
    <col min="54" max="58" width="6.625" customWidth="1"/>
    <col min="60" max="60" width="10.625" hidden="1" customWidth="1"/>
    <col min="61" max="61" width="0" hidden="1" customWidth="1"/>
  </cols>
  <sheetData>
    <row r="1" spans="1:64" ht="12.45" customHeight="1">
      <c r="A1" s="384" t="s">
        <v>0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14"/>
      <c r="X1" s="15"/>
      <c r="Y1" s="15"/>
      <c r="Z1" s="14"/>
      <c r="AA1" s="22" t="s">
        <v>1</v>
      </c>
      <c r="AB1" s="22" t="s">
        <v>1</v>
      </c>
      <c r="AC1" s="13"/>
      <c r="AD1" s="22" t="s">
        <v>1</v>
      </c>
      <c r="AE1" s="2"/>
      <c r="AF1" s="61" t="s">
        <v>1</v>
      </c>
      <c r="AG1" s="384" t="s">
        <v>1</v>
      </c>
      <c r="AH1" s="384"/>
      <c r="AI1" s="384"/>
      <c r="AJ1" s="384"/>
      <c r="AK1" s="384"/>
      <c r="AL1" s="384"/>
      <c r="AM1" s="384"/>
      <c r="AN1" s="384"/>
      <c r="AO1" s="384"/>
      <c r="AP1" s="384"/>
      <c r="AQ1" s="384"/>
      <c r="AR1" s="384"/>
      <c r="AS1" s="384"/>
      <c r="AT1" s="384"/>
      <c r="AU1" s="384"/>
      <c r="AV1" s="384"/>
      <c r="AW1" s="384"/>
      <c r="AX1" s="384"/>
      <c r="AY1" s="384"/>
      <c r="AZ1" s="384"/>
      <c r="BA1" s="384"/>
      <c r="BB1" s="384"/>
      <c r="BC1" s="384"/>
      <c r="BD1" s="384"/>
      <c r="BE1" s="384"/>
      <c r="BF1" s="384"/>
    </row>
    <row r="2" spans="1:64" ht="11.7" customHeight="1">
      <c r="B2" s="1"/>
      <c r="E2" s="3"/>
      <c r="G2" s="4"/>
      <c r="H2" s="4"/>
      <c r="I2" s="4"/>
      <c r="J2" s="4"/>
      <c r="K2" s="17"/>
      <c r="L2" s="17"/>
      <c r="M2" s="17"/>
      <c r="O2" s="17"/>
      <c r="P2" s="17"/>
      <c r="S2" s="17"/>
      <c r="U2" s="17"/>
      <c r="V2" s="17" t="s">
        <v>2</v>
      </c>
      <c r="W2" s="17"/>
      <c r="X2" s="10"/>
      <c r="Y2" s="10"/>
      <c r="Z2" s="10"/>
      <c r="AA2" s="11"/>
      <c r="AB2" s="10"/>
      <c r="AC2" s="12"/>
      <c r="AD2" s="12"/>
      <c r="AE2" s="12"/>
      <c r="AF2" s="12"/>
      <c r="AG2" s="17"/>
      <c r="AH2" s="17"/>
      <c r="AI2" s="17"/>
      <c r="AK2" s="17"/>
      <c r="AL2" s="17"/>
      <c r="AM2" s="17"/>
      <c r="AS2" s="4"/>
      <c r="AT2" s="4"/>
      <c r="AU2" s="4"/>
      <c r="AV2" s="4"/>
      <c r="AW2" s="17"/>
      <c r="AX2" s="17"/>
      <c r="AY2" s="17"/>
      <c r="AZ2" s="17"/>
      <c r="BA2" s="17" t="s">
        <v>3</v>
      </c>
      <c r="BB2" s="17"/>
      <c r="BC2" s="17"/>
      <c r="BE2" s="17"/>
      <c r="BF2" s="17" t="s">
        <v>3</v>
      </c>
    </row>
    <row r="3" spans="1:64" ht="11.7" customHeight="1">
      <c r="A3" s="81"/>
      <c r="B3" s="75">
        <v>2535</v>
      </c>
      <c r="C3" s="25">
        <v>2536</v>
      </c>
      <c r="D3" s="25">
        <v>2537</v>
      </c>
      <c r="E3" s="25">
        <v>2538</v>
      </c>
      <c r="F3" s="25">
        <v>2539</v>
      </c>
      <c r="G3" s="25">
        <v>2540</v>
      </c>
      <c r="H3" s="25">
        <v>2541</v>
      </c>
      <c r="I3" s="25">
        <v>2542</v>
      </c>
      <c r="J3" s="25">
        <v>2543</v>
      </c>
      <c r="K3" s="25">
        <v>2544</v>
      </c>
      <c r="L3" s="25">
        <v>2545</v>
      </c>
      <c r="M3" s="75">
        <v>2546</v>
      </c>
      <c r="N3" s="75">
        <v>2547</v>
      </c>
      <c r="O3" s="75">
        <v>2548</v>
      </c>
      <c r="P3" s="75">
        <v>2549</v>
      </c>
      <c r="Q3" s="75">
        <v>2550</v>
      </c>
      <c r="R3" s="107">
        <v>2551</v>
      </c>
      <c r="S3" s="75">
        <v>2552</v>
      </c>
      <c r="T3" s="107">
        <v>2553</v>
      </c>
      <c r="U3" s="107">
        <v>2554</v>
      </c>
      <c r="V3" s="107">
        <v>2555</v>
      </c>
      <c r="W3" s="21"/>
      <c r="X3" s="20">
        <v>2536</v>
      </c>
      <c r="Y3" s="20">
        <v>2537</v>
      </c>
      <c r="Z3" s="20">
        <v>2538</v>
      </c>
      <c r="AA3" s="20">
        <v>2539</v>
      </c>
      <c r="AB3" s="20">
        <v>2540</v>
      </c>
      <c r="AC3" s="20">
        <v>2541</v>
      </c>
      <c r="AD3" s="25">
        <v>2542</v>
      </c>
      <c r="AE3" s="25">
        <v>2543</v>
      </c>
      <c r="AF3" s="25">
        <v>2544</v>
      </c>
      <c r="AG3" s="25">
        <v>2545</v>
      </c>
      <c r="AH3" s="75">
        <v>2546</v>
      </c>
      <c r="AI3" s="75">
        <v>2547</v>
      </c>
      <c r="AJ3" s="75">
        <v>2548</v>
      </c>
      <c r="AK3" s="75">
        <v>2549</v>
      </c>
      <c r="AL3" s="75">
        <v>2550</v>
      </c>
      <c r="AM3" s="108"/>
      <c r="AN3" s="19">
        <v>2536</v>
      </c>
      <c r="AO3" s="19">
        <v>2537</v>
      </c>
      <c r="AP3" s="19">
        <v>2538</v>
      </c>
      <c r="AQ3" s="19">
        <v>2539</v>
      </c>
      <c r="AR3" s="19">
        <v>2540</v>
      </c>
      <c r="AS3" s="19">
        <v>2541</v>
      </c>
      <c r="AT3" s="19">
        <v>2542</v>
      </c>
      <c r="AU3" s="19">
        <v>2543</v>
      </c>
      <c r="AV3" s="19">
        <v>2544</v>
      </c>
      <c r="AW3" s="19">
        <v>2545</v>
      </c>
      <c r="AX3" s="19">
        <v>2546</v>
      </c>
      <c r="AY3" s="109">
        <v>2547</v>
      </c>
      <c r="AZ3" s="75">
        <v>2548</v>
      </c>
      <c r="BA3" s="75">
        <v>2549</v>
      </c>
      <c r="BB3" s="107">
        <v>2551</v>
      </c>
      <c r="BC3" s="107">
        <v>2552</v>
      </c>
      <c r="BD3" s="107">
        <v>2553</v>
      </c>
      <c r="BE3" s="107">
        <v>2554</v>
      </c>
      <c r="BF3" s="107">
        <v>2555</v>
      </c>
      <c r="BH3" s="261"/>
    </row>
    <row r="4" spans="1:64" ht="11.25" customHeight="1">
      <c r="A4" s="82" t="s">
        <v>4</v>
      </c>
      <c r="B4" s="34">
        <v>66226.899999999994</v>
      </c>
      <c r="C4" s="34">
        <v>61551.9</v>
      </c>
      <c r="D4" s="34">
        <v>77062.600000000006</v>
      </c>
      <c r="E4" s="34">
        <v>99967.7</v>
      </c>
      <c r="F4" s="34">
        <v>113457.1</v>
      </c>
      <c r="G4" s="34">
        <v>118901.01</v>
      </c>
      <c r="H4" s="34">
        <v>219117.16</v>
      </c>
      <c r="I4" s="33">
        <v>147221.38</v>
      </c>
      <c r="J4" s="34">
        <v>202834.76</v>
      </c>
      <c r="K4" s="34">
        <v>222427.49</v>
      </c>
      <c r="L4" s="34">
        <v>212048.46</v>
      </c>
      <c r="M4" s="34">
        <v>262100.49</v>
      </c>
      <c r="N4" s="34">
        <v>280165.15000000002</v>
      </c>
      <c r="O4" s="34">
        <v>305638.17</v>
      </c>
      <c r="P4" s="34">
        <v>362822.58</v>
      </c>
      <c r="Q4" s="34">
        <v>374037.31</v>
      </c>
      <c r="R4" s="34">
        <v>477297.17</v>
      </c>
      <c r="S4" s="34">
        <v>359880.93471100001</v>
      </c>
      <c r="T4" s="33">
        <v>452609.61</v>
      </c>
      <c r="U4" s="33">
        <v>483454.32</v>
      </c>
      <c r="V4" s="33">
        <v>488709.51</v>
      </c>
      <c r="W4" s="35"/>
      <c r="X4" s="36">
        <f t="shared" ref="X4:AL19" si="0">((C4/B4)-1)*100</f>
        <v>-7.0590651230844177</v>
      </c>
      <c r="Y4" s="36">
        <f t="shared" si="0"/>
        <v>25.199384584391392</v>
      </c>
      <c r="Z4" s="36">
        <f t="shared" si="0"/>
        <v>29.722718932400394</v>
      </c>
      <c r="AA4" s="36">
        <f t="shared" si="0"/>
        <v>13.493758483990348</v>
      </c>
      <c r="AB4" s="36">
        <f t="shared" si="0"/>
        <v>4.7982100723533261</v>
      </c>
      <c r="AC4" s="36">
        <f t="shared" si="0"/>
        <v>84.28536477528661</v>
      </c>
      <c r="AD4" s="37">
        <f t="shared" si="0"/>
        <v>-32.811569846925728</v>
      </c>
      <c r="AE4" s="37">
        <f t="shared" si="0"/>
        <v>37.775342141202593</v>
      </c>
      <c r="AF4" s="37">
        <f t="shared" si="0"/>
        <v>9.6594538332581479</v>
      </c>
      <c r="AG4" s="37">
        <f t="shared" si="0"/>
        <v>-4.6662532585338257</v>
      </c>
      <c r="AH4" s="37">
        <f t="shared" si="0"/>
        <v>23.604052583074655</v>
      </c>
      <c r="AI4" s="37">
        <f t="shared" si="0"/>
        <v>6.8922648713857892</v>
      </c>
      <c r="AJ4" s="37">
        <f t="shared" si="0"/>
        <v>9.092144401257606</v>
      </c>
      <c r="AK4" s="37">
        <f t="shared" si="0"/>
        <v>18.709839153925056</v>
      </c>
      <c r="AL4" s="37">
        <f t="shared" si="0"/>
        <v>3.0909680428379049</v>
      </c>
      <c r="AN4" s="37">
        <f t="shared" ref="AN4:AZ5" si="1">+(C4/C$30)*100</f>
        <v>6.5420710739272661</v>
      </c>
      <c r="AO4" s="37">
        <f t="shared" si="1"/>
        <v>6.7741290096638398</v>
      </c>
      <c r="AP4" s="37">
        <f t="shared" si="1"/>
        <v>7.1085104202835483</v>
      </c>
      <c r="AQ4" s="37">
        <f t="shared" si="1"/>
        <v>8.0406761172420911</v>
      </c>
      <c r="AR4" s="37">
        <f t="shared" si="1"/>
        <v>6.581180970107317</v>
      </c>
      <c r="AS4" s="37">
        <f t="shared" si="1"/>
        <v>9.7468168781879818</v>
      </c>
      <c r="AT4" s="37">
        <f t="shared" si="1"/>
        <v>6.6488186263810398</v>
      </c>
      <c r="AU4" s="37">
        <f t="shared" si="1"/>
        <v>7.3276739113297555</v>
      </c>
      <c r="AV4" s="37">
        <f t="shared" si="1"/>
        <v>7.7105830782514051</v>
      </c>
      <c r="AW4" s="37">
        <f t="shared" si="1"/>
        <v>7.2521419530382092</v>
      </c>
      <c r="AX4" s="37">
        <f t="shared" si="1"/>
        <v>7.8812279340313411</v>
      </c>
      <c r="AY4" s="37">
        <f t="shared" si="1"/>
        <v>7.2325143207850218</v>
      </c>
      <c r="AZ4" s="37">
        <f t="shared" si="1"/>
        <v>6.8857726143005396</v>
      </c>
      <c r="BA4" s="78"/>
      <c r="BB4" s="37">
        <f t="shared" ref="BB4:BF30" si="2">((R4/Q4)-1)*100</f>
        <v>27.606834195230423</v>
      </c>
      <c r="BC4" s="37">
        <f t="shared" si="2"/>
        <v>-24.600237057554729</v>
      </c>
      <c r="BD4" s="115">
        <f t="shared" si="2"/>
        <v>25.76648728654245</v>
      </c>
      <c r="BE4" s="115">
        <f t="shared" si="2"/>
        <v>6.8148597198367078</v>
      </c>
      <c r="BF4" s="115">
        <f t="shared" si="2"/>
        <v>1.0870085926629081</v>
      </c>
      <c r="BH4" s="262">
        <f t="shared" ref="BH4:BH27" si="3">+U4</f>
        <v>483454.32</v>
      </c>
    </row>
    <row r="5" spans="1:64" ht="11.7" customHeight="1">
      <c r="A5" s="82" t="s">
        <v>5</v>
      </c>
      <c r="B5" s="34">
        <v>57986.8</v>
      </c>
      <c r="C5" s="34">
        <v>70444.399999999994</v>
      </c>
      <c r="D5" s="34">
        <v>75291.199999999997</v>
      </c>
      <c r="E5" s="34">
        <v>99718</v>
      </c>
      <c r="F5" s="34">
        <v>118110.6</v>
      </c>
      <c r="G5" s="34">
        <v>112136.23</v>
      </c>
      <c r="H5" s="34">
        <v>220784.49</v>
      </c>
      <c r="I5" s="34">
        <v>155134.35999999999</v>
      </c>
      <c r="J5" s="34">
        <v>200673.07</v>
      </c>
      <c r="K5" s="34">
        <v>226016.09</v>
      </c>
      <c r="L5" s="34">
        <v>213841.54</v>
      </c>
      <c r="M5" s="34">
        <v>258216.97</v>
      </c>
      <c r="N5" s="34">
        <v>285138.24</v>
      </c>
      <c r="O5" s="34">
        <v>297832.07</v>
      </c>
      <c r="P5" s="34">
        <v>371405.11</v>
      </c>
      <c r="Q5" s="34">
        <v>399484.81</v>
      </c>
      <c r="R5" s="105">
        <v>435553.76</v>
      </c>
      <c r="S5" s="34">
        <v>405630.09279999998</v>
      </c>
      <c r="T5" s="105">
        <v>470690.43</v>
      </c>
      <c r="U5" s="34">
        <v>557478.96</v>
      </c>
      <c r="V5" s="34">
        <v>597145.59999999998</v>
      </c>
      <c r="W5" s="35"/>
      <c r="X5" s="36">
        <f t="shared" si="0"/>
        <v>21.483510040216025</v>
      </c>
      <c r="Y5" s="36">
        <f t="shared" si="0"/>
        <v>6.8803197983090314</v>
      </c>
      <c r="Z5" s="36">
        <f t="shared" si="0"/>
        <v>32.443100920160674</v>
      </c>
      <c r="AA5" s="36">
        <f t="shared" si="0"/>
        <v>18.444613810946887</v>
      </c>
      <c r="AB5" s="36">
        <f t="shared" si="0"/>
        <v>-5.0582843538175322</v>
      </c>
      <c r="AC5" s="36">
        <f t="shared" si="0"/>
        <v>96.889524465019022</v>
      </c>
      <c r="AD5" s="37">
        <f t="shared" si="0"/>
        <v>-29.734937449636977</v>
      </c>
      <c r="AE5" s="37">
        <f t="shared" si="0"/>
        <v>29.354367401264312</v>
      </c>
      <c r="AF5" s="37">
        <f t="shared" si="0"/>
        <v>12.629008964680711</v>
      </c>
      <c r="AG5" s="37">
        <f t="shared" si="0"/>
        <v>-5.3865855302602572</v>
      </c>
      <c r="AH5" s="37">
        <f t="shared" si="0"/>
        <v>20.751548085559058</v>
      </c>
      <c r="AI5" s="37">
        <f t="shared" si="0"/>
        <v>10.425832972945193</v>
      </c>
      <c r="AJ5" s="37">
        <f t="shared" si="0"/>
        <v>4.451816073494741</v>
      </c>
      <c r="AK5" s="37">
        <f t="shared" si="0"/>
        <v>24.702860239328817</v>
      </c>
      <c r="AL5" s="37">
        <f t="shared" si="0"/>
        <v>7.5603967861400667</v>
      </c>
      <c r="AN5" s="37">
        <f t="shared" si="1"/>
        <v>7.4872143924096868</v>
      </c>
      <c r="AO5" s="37">
        <f t="shared" si="1"/>
        <v>6.6184154452666029</v>
      </c>
      <c r="AP5" s="37">
        <f t="shared" si="1"/>
        <v>7.0907547346776498</v>
      </c>
      <c r="AQ5" s="37">
        <f t="shared" si="1"/>
        <v>8.3704684908492624</v>
      </c>
      <c r="AR5" s="37">
        <f t="shared" si="1"/>
        <v>6.2067498243755637</v>
      </c>
      <c r="AS5" s="37">
        <f t="shared" si="1"/>
        <v>9.8209834116785988</v>
      </c>
      <c r="AT5" s="37">
        <f t="shared" si="1"/>
        <v>7.0061849872600126</v>
      </c>
      <c r="AU5" s="37">
        <f t="shared" si="1"/>
        <v>7.2495800016991661</v>
      </c>
      <c r="AV5" s="37">
        <f t="shared" si="1"/>
        <v>7.8349840613970265</v>
      </c>
      <c r="AW5" s="37">
        <f t="shared" si="1"/>
        <v>7.3134660045929998</v>
      </c>
      <c r="AX5" s="37">
        <f t="shared" si="1"/>
        <v>7.7644524701382016</v>
      </c>
      <c r="AY5" s="37">
        <f t="shared" si="1"/>
        <v>7.360895543944121</v>
      </c>
      <c r="AZ5" s="37">
        <f t="shared" si="1"/>
        <v>6.7099077031721581</v>
      </c>
      <c r="BA5" s="79"/>
      <c r="BB5" s="37">
        <f t="shared" si="2"/>
        <v>9.0288664542714336</v>
      </c>
      <c r="BC5" s="37">
        <f t="shared" si="2"/>
        <v>-6.8702580365739507</v>
      </c>
      <c r="BD5" s="37">
        <f t="shared" si="2"/>
        <v>16.039327050638398</v>
      </c>
      <c r="BE5" s="37">
        <f t="shared" si="2"/>
        <v>18.438558438504906</v>
      </c>
      <c r="BF5" s="37">
        <f t="shared" si="2"/>
        <v>7.1153609097642123</v>
      </c>
      <c r="BH5" s="262">
        <f t="shared" si="3"/>
        <v>557478.96</v>
      </c>
    </row>
    <row r="6" spans="1:64" ht="8.5500000000000007" hidden="1" customHeight="1">
      <c r="A6" s="83" t="s">
        <v>6</v>
      </c>
      <c r="B6" s="38">
        <f t="shared" ref="B6:U6" si="4">+B4+B5</f>
        <v>124213.7</v>
      </c>
      <c r="C6" s="38">
        <f t="shared" si="4"/>
        <v>131996.29999999999</v>
      </c>
      <c r="D6" s="38">
        <f t="shared" si="4"/>
        <v>152353.79999999999</v>
      </c>
      <c r="E6" s="38">
        <f t="shared" si="4"/>
        <v>199685.7</v>
      </c>
      <c r="F6" s="38">
        <f t="shared" si="4"/>
        <v>231567.7</v>
      </c>
      <c r="G6" s="38">
        <f t="shared" si="4"/>
        <v>231037.24</v>
      </c>
      <c r="H6" s="38">
        <f t="shared" si="4"/>
        <v>439901.65</v>
      </c>
      <c r="I6" s="38">
        <f t="shared" si="4"/>
        <v>302355.74</v>
      </c>
      <c r="J6" s="38">
        <f t="shared" si="4"/>
        <v>403507.83</v>
      </c>
      <c r="K6" s="38">
        <f t="shared" si="4"/>
        <v>448443.57999999996</v>
      </c>
      <c r="L6" s="38">
        <f t="shared" si="4"/>
        <v>425890</v>
      </c>
      <c r="M6" s="38">
        <f t="shared" si="4"/>
        <v>520317.45999999996</v>
      </c>
      <c r="N6" s="38">
        <f t="shared" si="4"/>
        <v>565303.39</v>
      </c>
      <c r="O6" s="38">
        <f t="shared" si="4"/>
        <v>603470.24</v>
      </c>
      <c r="P6" s="38">
        <f t="shared" si="4"/>
        <v>734227.69</v>
      </c>
      <c r="Q6" s="38">
        <f t="shared" si="4"/>
        <v>773522.12</v>
      </c>
      <c r="R6" s="38">
        <f t="shared" si="4"/>
        <v>912850.92999999993</v>
      </c>
      <c r="S6" s="38">
        <f t="shared" si="4"/>
        <v>765511.02751099993</v>
      </c>
      <c r="T6" s="38">
        <f t="shared" si="4"/>
        <v>923300.04</v>
      </c>
      <c r="U6" s="38">
        <f t="shared" si="4"/>
        <v>1040933.28</v>
      </c>
      <c r="V6" s="38">
        <f>+V4+V5</f>
        <v>1085855.1099999999</v>
      </c>
      <c r="W6" s="39"/>
      <c r="X6" s="40">
        <f t="shared" si="0"/>
        <v>6.2654924537309364</v>
      </c>
      <c r="Y6" s="40">
        <f t="shared" si="0"/>
        <v>15.422780790067602</v>
      </c>
      <c r="Z6" s="40">
        <f t="shared" si="0"/>
        <v>31.06709514301582</v>
      </c>
      <c r="AA6" s="40">
        <f t="shared" si="0"/>
        <v>15.966090711553216</v>
      </c>
      <c r="AB6" s="40">
        <f t="shared" si="0"/>
        <v>-0.22907339840574359</v>
      </c>
      <c r="AC6" s="40">
        <f t="shared" si="0"/>
        <v>90.402919460083581</v>
      </c>
      <c r="AD6" s="253">
        <f t="shared" si="0"/>
        <v>-31.267423070588627</v>
      </c>
      <c r="AE6" s="253">
        <f t="shared" si="0"/>
        <v>33.454661717353204</v>
      </c>
      <c r="AF6" s="253">
        <f t="shared" si="0"/>
        <v>11.136277082900703</v>
      </c>
      <c r="AG6" s="253">
        <f t="shared" si="0"/>
        <v>-5.0293015678806174</v>
      </c>
      <c r="AH6" s="253">
        <f t="shared" si="0"/>
        <v>22.171795534058081</v>
      </c>
      <c r="AI6" s="253">
        <f t="shared" si="0"/>
        <v>8.6458620858120163</v>
      </c>
      <c r="AJ6" s="253">
        <f t="shared" si="0"/>
        <v>6.7515692768090441</v>
      </c>
      <c r="AK6" s="253">
        <f t="shared" si="0"/>
        <v>21.667588777865831</v>
      </c>
      <c r="AL6" s="253">
        <f t="shared" si="0"/>
        <v>5.351804424592066</v>
      </c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79"/>
      <c r="BB6" s="253">
        <f t="shared" si="2"/>
        <v>18.012259300354593</v>
      </c>
      <c r="BC6" s="253">
        <f t="shared" si="2"/>
        <v>-16.140631251698455</v>
      </c>
      <c r="BD6" s="253">
        <f t="shared" si="2"/>
        <v>20.612245522058494</v>
      </c>
      <c r="BE6" s="253">
        <f t="shared" si="2"/>
        <v>12.740521488551003</v>
      </c>
      <c r="BF6" s="37">
        <f t="shared" si="2"/>
        <v>4.3155340369173123</v>
      </c>
      <c r="BH6" s="262">
        <f t="shared" si="3"/>
        <v>1040933.28</v>
      </c>
    </row>
    <row r="7" spans="1:64" ht="11.7" customHeight="1">
      <c r="A7" s="82" t="s">
        <v>7</v>
      </c>
      <c r="B7" s="34">
        <v>69150.7</v>
      </c>
      <c r="C7" s="34">
        <v>75420.100000000006</v>
      </c>
      <c r="D7" s="34">
        <v>103901.2</v>
      </c>
      <c r="E7" s="34">
        <v>128892.6</v>
      </c>
      <c r="F7" s="34">
        <v>123335.6</v>
      </c>
      <c r="G7" s="34">
        <v>129767.52</v>
      </c>
      <c r="H7" s="34">
        <v>207118.91</v>
      </c>
      <c r="I7" s="34">
        <v>177909.2</v>
      </c>
      <c r="J7" s="34">
        <v>218511.49</v>
      </c>
      <c r="K7" s="34">
        <v>256633.19</v>
      </c>
      <c r="L7" s="34">
        <v>247156.98</v>
      </c>
      <c r="M7" s="34">
        <v>283196.90000000002</v>
      </c>
      <c r="N7" s="34">
        <v>308759.55</v>
      </c>
      <c r="O7" s="34">
        <v>368058.81</v>
      </c>
      <c r="P7" s="34">
        <v>433231.24</v>
      </c>
      <c r="Q7" s="34">
        <v>458418.82</v>
      </c>
      <c r="R7" s="105">
        <v>485552.07</v>
      </c>
      <c r="S7" s="34">
        <v>404017.63607800001</v>
      </c>
      <c r="T7" s="34">
        <v>536258.78</v>
      </c>
      <c r="U7" s="34">
        <v>634701.02</v>
      </c>
      <c r="V7" s="34">
        <v>606449.68999999994</v>
      </c>
      <c r="W7" s="35"/>
      <c r="X7" s="36">
        <f t="shared" si="0"/>
        <v>9.0662856630518753</v>
      </c>
      <c r="Y7" s="36">
        <f t="shared" si="0"/>
        <v>37.763275307245657</v>
      </c>
      <c r="Z7" s="36">
        <f t="shared" si="0"/>
        <v>24.053042698255656</v>
      </c>
      <c r="AA7" s="36">
        <f t="shared" si="0"/>
        <v>-4.3113413803430145</v>
      </c>
      <c r="AB7" s="36">
        <f t="shared" si="0"/>
        <v>5.21497442749701</v>
      </c>
      <c r="AC7" s="36">
        <f t="shared" si="0"/>
        <v>59.607666078537981</v>
      </c>
      <c r="AD7" s="37">
        <f t="shared" si="0"/>
        <v>-14.102869699343234</v>
      </c>
      <c r="AE7" s="37">
        <f t="shared" si="0"/>
        <v>22.821917022840843</v>
      </c>
      <c r="AF7" s="37">
        <f t="shared" si="0"/>
        <v>17.446084871784095</v>
      </c>
      <c r="AG7" s="37">
        <f t="shared" si="0"/>
        <v>-3.6925114791270697</v>
      </c>
      <c r="AH7" s="37">
        <f t="shared" si="0"/>
        <v>14.581793320180569</v>
      </c>
      <c r="AI7" s="37">
        <f t="shared" si="0"/>
        <v>9.0264582698468701</v>
      </c>
      <c r="AJ7" s="37">
        <f t="shared" si="0"/>
        <v>19.205644003561993</v>
      </c>
      <c r="AK7" s="37">
        <f t="shared" si="0"/>
        <v>17.707069693563369</v>
      </c>
      <c r="AL7" s="37">
        <f t="shared" si="0"/>
        <v>5.8138882136015813</v>
      </c>
      <c r="AN7" s="37">
        <f t="shared" ref="AN7:AZ9" si="5">+(C7/C$30)*100</f>
        <v>8.0160588804358888</v>
      </c>
      <c r="AO7" s="37">
        <f t="shared" si="5"/>
        <v>9.1333556492888182</v>
      </c>
      <c r="AP7" s="37">
        <f t="shared" si="5"/>
        <v>9.1653042952617625</v>
      </c>
      <c r="AQ7" s="37">
        <f t="shared" si="5"/>
        <v>8.7407629255967549</v>
      </c>
      <c r="AR7" s="37">
        <f t="shared" si="5"/>
        <v>7.1826432186069793</v>
      </c>
      <c r="AS7" s="37">
        <f t="shared" si="5"/>
        <v>9.2131081279982716</v>
      </c>
      <c r="AT7" s="37">
        <f t="shared" si="5"/>
        <v>8.0347433420645125</v>
      </c>
      <c r="AU7" s="37">
        <f t="shared" si="5"/>
        <v>7.8940165117595855</v>
      </c>
      <c r="AV7" s="37">
        <f t="shared" si="5"/>
        <v>8.8963442968837967</v>
      </c>
      <c r="AW7" s="37">
        <f t="shared" si="5"/>
        <v>8.4528673476064178</v>
      </c>
      <c r="AX7" s="37">
        <f t="shared" si="5"/>
        <v>8.515586213177551</v>
      </c>
      <c r="AY7" s="37">
        <f t="shared" si="5"/>
        <v>7.9706839592795138</v>
      </c>
      <c r="AZ7" s="37">
        <f t="shared" si="5"/>
        <v>8.2920574820548278</v>
      </c>
      <c r="BA7" s="79"/>
      <c r="BB7" s="37">
        <f t="shared" si="2"/>
        <v>5.9188778506083173</v>
      </c>
      <c r="BC7" s="37">
        <f t="shared" si="2"/>
        <v>-16.792109221571227</v>
      </c>
      <c r="BD7" s="37">
        <f t="shared" si="2"/>
        <v>32.731527565412868</v>
      </c>
      <c r="BE7" s="37">
        <f t="shared" si="2"/>
        <v>18.357226710581777</v>
      </c>
      <c r="BF7" s="37">
        <f t="shared" si="2"/>
        <v>-4.451124089890401</v>
      </c>
      <c r="BG7" s="77"/>
      <c r="BH7" s="262">
        <f t="shared" si="3"/>
        <v>634701.02</v>
      </c>
    </row>
    <row r="8" spans="1:64" ht="11.7" customHeight="1">
      <c r="A8" s="84" t="s">
        <v>8</v>
      </c>
      <c r="B8" s="38">
        <f t="shared" ref="B8:V8" si="6">+B4+B5+B7</f>
        <v>193364.4</v>
      </c>
      <c r="C8" s="38">
        <f t="shared" si="6"/>
        <v>207416.4</v>
      </c>
      <c r="D8" s="38">
        <f t="shared" si="6"/>
        <v>256255</v>
      </c>
      <c r="E8" s="38">
        <f t="shared" si="6"/>
        <v>328578.30000000005</v>
      </c>
      <c r="F8" s="38">
        <f t="shared" si="6"/>
        <v>354903.30000000005</v>
      </c>
      <c r="G8" s="38">
        <f t="shared" si="6"/>
        <v>360804.76</v>
      </c>
      <c r="H8" s="38">
        <f t="shared" si="6"/>
        <v>647020.56000000006</v>
      </c>
      <c r="I8" s="38">
        <f t="shared" si="6"/>
        <v>480264.94</v>
      </c>
      <c r="J8" s="38">
        <f t="shared" si="6"/>
        <v>622019.32000000007</v>
      </c>
      <c r="K8" s="38">
        <f t="shared" si="6"/>
        <v>705076.77</v>
      </c>
      <c r="L8" s="38">
        <f t="shared" si="6"/>
        <v>673046.98</v>
      </c>
      <c r="M8" s="38">
        <f t="shared" si="6"/>
        <v>803514.36</v>
      </c>
      <c r="N8" s="38">
        <f t="shared" si="6"/>
        <v>874062.94</v>
      </c>
      <c r="O8" s="38">
        <f t="shared" si="6"/>
        <v>971529.05</v>
      </c>
      <c r="P8" s="38">
        <f t="shared" si="6"/>
        <v>1167458.93</v>
      </c>
      <c r="Q8" s="38">
        <f t="shared" si="6"/>
        <v>1231940.94</v>
      </c>
      <c r="R8" s="38">
        <f t="shared" si="6"/>
        <v>1398403</v>
      </c>
      <c r="S8" s="38">
        <f t="shared" si="6"/>
        <v>1169528.663589</v>
      </c>
      <c r="T8" s="38">
        <f t="shared" si="6"/>
        <v>1459558.82</v>
      </c>
      <c r="U8" s="38">
        <f t="shared" si="6"/>
        <v>1675634.3</v>
      </c>
      <c r="V8" s="38">
        <f t="shared" si="6"/>
        <v>1692304.7999999998</v>
      </c>
      <c r="W8" s="39"/>
      <c r="X8" s="40">
        <f t="shared" si="0"/>
        <v>7.2671081129721982</v>
      </c>
      <c r="Y8" s="40">
        <f t="shared" si="0"/>
        <v>23.546161248580155</v>
      </c>
      <c r="Z8" s="40">
        <f t="shared" si="0"/>
        <v>28.223176133148641</v>
      </c>
      <c r="AA8" s="40">
        <f t="shared" si="0"/>
        <v>8.0117889708480448</v>
      </c>
      <c r="AB8" s="40">
        <f t="shared" si="0"/>
        <v>1.662836045762317</v>
      </c>
      <c r="AC8" s="40">
        <f t="shared" si="0"/>
        <v>79.327057658551965</v>
      </c>
      <c r="AD8" s="253">
        <f t="shared" si="0"/>
        <v>-25.772847156510771</v>
      </c>
      <c r="AE8" s="253">
        <f t="shared" si="0"/>
        <v>29.515870969053061</v>
      </c>
      <c r="AF8" s="253">
        <f t="shared" si="0"/>
        <v>13.352873026516265</v>
      </c>
      <c r="AG8" s="253">
        <f t="shared" si="0"/>
        <v>-4.5427379489470399</v>
      </c>
      <c r="AH8" s="253">
        <f t="shared" si="0"/>
        <v>19.38458738794133</v>
      </c>
      <c r="AI8" s="253">
        <f t="shared" si="0"/>
        <v>8.7800023885074019</v>
      </c>
      <c r="AJ8" s="253">
        <f t="shared" si="0"/>
        <v>11.15092581319146</v>
      </c>
      <c r="AK8" s="253">
        <f t="shared" si="0"/>
        <v>20.167166385812131</v>
      </c>
      <c r="AL8" s="253">
        <f t="shared" si="0"/>
        <v>5.5232786647150034</v>
      </c>
      <c r="AN8" s="37">
        <f t="shared" si="5"/>
        <v>22.04534434677284</v>
      </c>
      <c r="AO8" s="37">
        <f t="shared" si="5"/>
        <v>22.525900104219261</v>
      </c>
      <c r="AP8" s="37">
        <f t="shared" si="5"/>
        <v>23.364569450222962</v>
      </c>
      <c r="AQ8" s="37">
        <f t="shared" si="5"/>
        <v>25.15190753368811</v>
      </c>
      <c r="AR8" s="37">
        <f t="shared" si="5"/>
        <v>19.970574013089863</v>
      </c>
      <c r="AS8" s="37">
        <f t="shared" si="5"/>
        <v>28.780908417864854</v>
      </c>
      <c r="AT8" s="37">
        <f t="shared" si="5"/>
        <v>21.689746955705566</v>
      </c>
      <c r="AU8" s="37">
        <f t="shared" si="5"/>
        <v>22.471270424788507</v>
      </c>
      <c r="AV8" s="37">
        <f t="shared" si="5"/>
        <v>24.44191143653223</v>
      </c>
      <c r="AW8" s="37">
        <f t="shared" si="5"/>
        <v>23.018475305237626</v>
      </c>
      <c r="AX8" s="37">
        <f t="shared" si="5"/>
        <v>24.161266617347092</v>
      </c>
      <c r="AY8" s="37">
        <f t="shared" si="5"/>
        <v>22.564093824008655</v>
      </c>
      <c r="AZ8" s="37">
        <f t="shared" si="5"/>
        <v>21.887737799527525</v>
      </c>
      <c r="BA8" s="79"/>
      <c r="BB8" s="253">
        <f t="shared" si="2"/>
        <v>13.512178595184942</v>
      </c>
      <c r="BC8" s="253">
        <f t="shared" si="2"/>
        <v>-16.366836771016658</v>
      </c>
      <c r="BD8" s="253">
        <f t="shared" si="2"/>
        <v>24.79889253171168</v>
      </c>
      <c r="BE8" s="253">
        <f t="shared" si="2"/>
        <v>14.804163904816114</v>
      </c>
      <c r="BF8" s="253">
        <f t="shared" si="2"/>
        <v>0.99487698479314712</v>
      </c>
      <c r="BH8" s="262" t="s">
        <v>9</v>
      </c>
    </row>
    <row r="9" spans="1:64" ht="11.7" customHeight="1">
      <c r="A9" s="82" t="s">
        <v>10</v>
      </c>
      <c r="B9" s="34">
        <v>65921</v>
      </c>
      <c r="C9" s="34">
        <v>69053.600000000006</v>
      </c>
      <c r="D9" s="34">
        <v>85096</v>
      </c>
      <c r="E9" s="34">
        <v>100018.8</v>
      </c>
      <c r="F9" s="34">
        <v>107314.5</v>
      </c>
      <c r="G9" s="34">
        <v>113073.29</v>
      </c>
      <c r="H9" s="34">
        <v>169459.34</v>
      </c>
      <c r="I9" s="34">
        <v>169803.41</v>
      </c>
      <c r="J9" s="34">
        <v>197722.31</v>
      </c>
      <c r="K9" s="34">
        <v>214644.63</v>
      </c>
      <c r="L9" s="34">
        <v>212387.25</v>
      </c>
      <c r="M9" s="34">
        <v>254879.6</v>
      </c>
      <c r="N9" s="34">
        <v>284541.37</v>
      </c>
      <c r="O9" s="34">
        <v>317540.15999999997</v>
      </c>
      <c r="P9" s="34">
        <v>355196.94</v>
      </c>
      <c r="Q9" s="34">
        <v>375730.04</v>
      </c>
      <c r="R9" s="105">
        <v>438154.19</v>
      </c>
      <c r="S9" s="34">
        <v>367486.51211200003</v>
      </c>
      <c r="T9" s="34">
        <v>450816.85</v>
      </c>
      <c r="U9" s="34">
        <v>518385.45</v>
      </c>
      <c r="V9" s="34">
        <v>515987.54</v>
      </c>
      <c r="W9" s="35"/>
      <c r="X9" s="36">
        <f t="shared" si="0"/>
        <v>4.7520516982448857</v>
      </c>
      <c r="Y9" s="36">
        <f t="shared" si="0"/>
        <v>23.231808334395311</v>
      </c>
      <c r="Z9" s="36">
        <f t="shared" si="0"/>
        <v>17.536429444392219</v>
      </c>
      <c r="AA9" s="36">
        <f t="shared" si="0"/>
        <v>7.2943286662107587</v>
      </c>
      <c r="AB9" s="36">
        <f t="shared" si="0"/>
        <v>5.3662738958854428</v>
      </c>
      <c r="AC9" s="36">
        <f t="shared" si="0"/>
        <v>49.866816469212139</v>
      </c>
      <c r="AD9" s="37">
        <f t="shared" si="0"/>
        <v>0.2030398560504354</v>
      </c>
      <c r="AE9" s="37">
        <f t="shared" si="0"/>
        <v>16.441895954857433</v>
      </c>
      <c r="AF9" s="37">
        <f t="shared" si="0"/>
        <v>8.5586295244072463</v>
      </c>
      <c r="AG9" s="37">
        <f t="shared" si="0"/>
        <v>-1.0516824949219572</v>
      </c>
      <c r="AH9" s="37">
        <f t="shared" si="0"/>
        <v>20.007015487040782</v>
      </c>
      <c r="AI9" s="37">
        <f t="shared" si="0"/>
        <v>11.637561421157283</v>
      </c>
      <c r="AJ9" s="37">
        <f t="shared" si="0"/>
        <v>11.597185323174619</v>
      </c>
      <c r="AK9" s="37">
        <f t="shared" si="0"/>
        <v>11.858903138425081</v>
      </c>
      <c r="AL9" s="37">
        <f t="shared" si="0"/>
        <v>5.7807648905984221</v>
      </c>
      <c r="AN9" s="37">
        <f t="shared" si="5"/>
        <v>7.3393925956882544</v>
      </c>
      <c r="AO9" s="37">
        <f t="shared" si="5"/>
        <v>7.480298902533189</v>
      </c>
      <c r="AP9" s="37">
        <f t="shared" si="5"/>
        <v>7.1121440427683762</v>
      </c>
      <c r="AQ9" s="37">
        <f t="shared" si="5"/>
        <v>7.6053516014755917</v>
      </c>
      <c r="AR9" s="37">
        <f t="shared" si="5"/>
        <v>6.2586161747105935</v>
      </c>
      <c r="AS9" s="37">
        <f t="shared" si="5"/>
        <v>7.5379269943011113</v>
      </c>
      <c r="AT9" s="37">
        <f t="shared" si="5"/>
        <v>7.6686692872395064</v>
      </c>
      <c r="AU9" s="37">
        <f t="shared" si="5"/>
        <v>7.1429798949393799</v>
      </c>
      <c r="AV9" s="37">
        <f t="shared" si="5"/>
        <v>7.4407855428100813</v>
      </c>
      <c r="AW9" s="37">
        <f t="shared" si="5"/>
        <v>7.2637287062373117</v>
      </c>
      <c r="AX9" s="37">
        <f t="shared" si="5"/>
        <v>7.6640994579397184</v>
      </c>
      <c r="AY9" s="37">
        <f t="shared" si="5"/>
        <v>7.3454872362989807</v>
      </c>
      <c r="AZ9" s="37">
        <f t="shared" si="5"/>
        <v>7.1539145050783794</v>
      </c>
      <c r="BA9" s="79"/>
      <c r="BB9" s="37">
        <f t="shared" si="2"/>
        <v>16.614096120714763</v>
      </c>
      <c r="BC9" s="37">
        <f t="shared" si="2"/>
        <v>-16.128495287925915</v>
      </c>
      <c r="BD9" s="37">
        <f t="shared" si="2"/>
        <v>22.675754113828027</v>
      </c>
      <c r="BE9" s="37">
        <f t="shared" si="2"/>
        <v>14.988037825116795</v>
      </c>
      <c r="BF9" s="37">
        <f t="shared" si="2"/>
        <v>-0.46257278247296973</v>
      </c>
      <c r="BH9" s="262">
        <f t="shared" si="3"/>
        <v>518385.45</v>
      </c>
    </row>
    <row r="10" spans="1:64" ht="8.5500000000000007" hidden="1" customHeight="1">
      <c r="A10" s="304" t="s">
        <v>11</v>
      </c>
      <c r="B10" s="252">
        <f t="shared" ref="B10:V10" si="7">+B8+B9</f>
        <v>259285.4</v>
      </c>
      <c r="C10" s="252">
        <f t="shared" si="7"/>
        <v>276470</v>
      </c>
      <c r="D10" s="252">
        <f t="shared" si="7"/>
        <v>341351</v>
      </c>
      <c r="E10" s="252">
        <f t="shared" si="7"/>
        <v>428597.10000000003</v>
      </c>
      <c r="F10" s="252">
        <f t="shared" si="7"/>
        <v>462217.80000000005</v>
      </c>
      <c r="G10" s="252">
        <f t="shared" si="7"/>
        <v>473878.05</v>
      </c>
      <c r="H10" s="252">
        <f t="shared" si="7"/>
        <v>816479.9</v>
      </c>
      <c r="I10" s="252">
        <f t="shared" si="7"/>
        <v>650068.35</v>
      </c>
      <c r="J10" s="252">
        <f t="shared" si="7"/>
        <v>819741.63000000012</v>
      </c>
      <c r="K10" s="252">
        <f t="shared" si="7"/>
        <v>919721.4</v>
      </c>
      <c r="L10" s="252">
        <f t="shared" si="7"/>
        <v>885434.23</v>
      </c>
      <c r="M10" s="252">
        <f t="shared" si="7"/>
        <v>1058393.96</v>
      </c>
      <c r="N10" s="252">
        <f t="shared" si="7"/>
        <v>1158604.31</v>
      </c>
      <c r="O10" s="252">
        <f t="shared" si="7"/>
        <v>1289069.21</v>
      </c>
      <c r="P10" s="252">
        <f t="shared" si="7"/>
        <v>1522655.8699999999</v>
      </c>
      <c r="Q10" s="252">
        <f t="shared" si="7"/>
        <v>1607670.98</v>
      </c>
      <c r="R10" s="252">
        <f t="shared" si="7"/>
        <v>1836557.19</v>
      </c>
      <c r="S10" s="252">
        <f t="shared" si="7"/>
        <v>1537015.175701</v>
      </c>
      <c r="T10" s="252">
        <f t="shared" si="7"/>
        <v>1910375.67</v>
      </c>
      <c r="U10" s="252">
        <f t="shared" si="7"/>
        <v>2194019.75</v>
      </c>
      <c r="V10" s="252">
        <f t="shared" si="7"/>
        <v>2208292.34</v>
      </c>
      <c r="W10" s="39"/>
      <c r="X10" s="40">
        <f t="shared" si="0"/>
        <v>6.6276774550360296</v>
      </c>
      <c r="Y10" s="40">
        <f t="shared" si="0"/>
        <v>23.467645675841851</v>
      </c>
      <c r="Z10" s="40">
        <f t="shared" si="0"/>
        <v>25.559057978444489</v>
      </c>
      <c r="AA10" s="40">
        <f t="shared" si="0"/>
        <v>7.844360122828653</v>
      </c>
      <c r="AB10" s="40">
        <f t="shared" si="0"/>
        <v>2.5226743755865533</v>
      </c>
      <c r="AC10" s="40">
        <f t="shared" si="0"/>
        <v>72.29747189176625</v>
      </c>
      <c r="AD10" s="253">
        <f t="shared" si="0"/>
        <v>-20.381585633645116</v>
      </c>
      <c r="AE10" s="253">
        <f t="shared" si="0"/>
        <v>26.100836935070014</v>
      </c>
      <c r="AF10" s="253">
        <f t="shared" si="0"/>
        <v>12.196497816025254</v>
      </c>
      <c r="AG10" s="253">
        <f t="shared" si="0"/>
        <v>-3.7279952385581128</v>
      </c>
      <c r="AH10" s="253">
        <f t="shared" si="0"/>
        <v>19.533887909438509</v>
      </c>
      <c r="AI10" s="253">
        <f t="shared" si="0"/>
        <v>9.4681521047229147</v>
      </c>
      <c r="AJ10" s="253">
        <f t="shared" si="0"/>
        <v>11.260522585143828</v>
      </c>
      <c r="AK10" s="253">
        <f t="shared" si="0"/>
        <v>18.1205677854954</v>
      </c>
      <c r="AL10" s="253">
        <f t="shared" si="0"/>
        <v>5.5833436612305665</v>
      </c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79"/>
      <c r="BB10" s="253">
        <f t="shared" si="2"/>
        <v>14.237130162043488</v>
      </c>
      <c r="BC10" s="253">
        <f t="shared" si="2"/>
        <v>-16.309974768550497</v>
      </c>
      <c r="BD10" s="253">
        <f t="shared" si="2"/>
        <v>24.291269221119972</v>
      </c>
      <c r="BE10" s="253">
        <f t="shared" si="2"/>
        <v>14.847555088471154</v>
      </c>
      <c r="BF10" s="253">
        <f t="shared" si="2"/>
        <v>0.65052240300023101</v>
      </c>
      <c r="BH10" s="262">
        <f t="shared" si="3"/>
        <v>2194019.75</v>
      </c>
    </row>
    <row r="11" spans="1:64" ht="11.7" customHeight="1">
      <c r="A11" s="82" t="s">
        <v>12</v>
      </c>
      <c r="B11" s="34">
        <v>61043.3</v>
      </c>
      <c r="C11" s="34">
        <v>71097.7</v>
      </c>
      <c r="D11" s="34">
        <v>90602.5</v>
      </c>
      <c r="E11" s="34">
        <v>119277.4</v>
      </c>
      <c r="F11" s="34">
        <v>125500.8</v>
      </c>
      <c r="G11" s="34">
        <v>127644.06</v>
      </c>
      <c r="H11" s="34">
        <v>166457.68</v>
      </c>
      <c r="I11" s="34">
        <v>172485.6</v>
      </c>
      <c r="J11" s="34">
        <v>200087.69</v>
      </c>
      <c r="K11" s="34">
        <v>260425.63</v>
      </c>
      <c r="L11" s="34">
        <v>255938.4</v>
      </c>
      <c r="M11" s="34">
        <v>287157.82</v>
      </c>
      <c r="N11" s="34">
        <v>312836.15000000002</v>
      </c>
      <c r="O11" s="34">
        <v>359690.34</v>
      </c>
      <c r="P11" s="34">
        <v>406788.8</v>
      </c>
      <c r="Q11" s="34">
        <v>441150.46</v>
      </c>
      <c r="R11" s="34">
        <v>496126.04</v>
      </c>
      <c r="S11" s="34">
        <v>411296.95039100002</v>
      </c>
      <c r="T11" s="34">
        <v>529582.86</v>
      </c>
      <c r="U11" s="34">
        <v>566160.89</v>
      </c>
      <c r="V11" s="34">
        <v>641137.03</v>
      </c>
      <c r="W11" s="39"/>
      <c r="X11" s="40">
        <f t="shared" si="0"/>
        <v>16.470931289756606</v>
      </c>
      <c r="Y11" s="40">
        <f t="shared" si="0"/>
        <v>27.433798843000545</v>
      </c>
      <c r="Z11" s="40">
        <f t="shared" si="0"/>
        <v>31.649126679727367</v>
      </c>
      <c r="AA11" s="40">
        <f t="shared" si="0"/>
        <v>5.2175852257007715</v>
      </c>
      <c r="AB11" s="40">
        <f t="shared" si="0"/>
        <v>1.7077660062724709</v>
      </c>
      <c r="AC11" s="40">
        <f t="shared" si="0"/>
        <v>30.407697780844643</v>
      </c>
      <c r="AD11" s="253">
        <f t="shared" si="0"/>
        <v>3.6212928114821796</v>
      </c>
      <c r="AE11" s="253">
        <f t="shared" si="0"/>
        <v>16.002547459034268</v>
      </c>
      <c r="AF11" s="253">
        <f t="shared" si="0"/>
        <v>30.155748212196354</v>
      </c>
      <c r="AG11" s="253">
        <f t="shared" si="0"/>
        <v>-1.7230370144443952</v>
      </c>
      <c r="AH11" s="37">
        <f t="shared" si="0"/>
        <v>12.198021086323907</v>
      </c>
      <c r="AI11" s="37">
        <f t="shared" si="0"/>
        <v>8.9422360150247737</v>
      </c>
      <c r="AJ11" s="37">
        <f t="shared" si="0"/>
        <v>14.977230093133409</v>
      </c>
      <c r="AK11" s="37">
        <f>((P11/O11)-1)*100</f>
        <v>13.094168723018784</v>
      </c>
      <c r="AL11" s="37">
        <f t="shared" si="0"/>
        <v>8.4470516395731785</v>
      </c>
      <c r="AN11" s="37">
        <f t="shared" ref="AN11:AZ11" si="8">+(C11/C$30)*100</f>
        <v>7.5566506735414913</v>
      </c>
      <c r="AO11" s="37">
        <f t="shared" si="8"/>
        <v>7.9643435803887748</v>
      </c>
      <c r="AP11" s="37">
        <f t="shared" si="8"/>
        <v>8.4815859603084682</v>
      </c>
      <c r="AQ11" s="37">
        <f t="shared" si="8"/>
        <v>8.8942101045661861</v>
      </c>
      <c r="AR11" s="37">
        <f t="shared" si="8"/>
        <v>7.0651095278268583</v>
      </c>
      <c r="AS11" s="37">
        <f t="shared" si="8"/>
        <v>7.4044065053052623</v>
      </c>
      <c r="AT11" s="37">
        <f t="shared" si="8"/>
        <v>7.7898024734077991</v>
      </c>
      <c r="AU11" s="37">
        <f t="shared" si="8"/>
        <v>7.2284323751571744</v>
      </c>
      <c r="AV11" s="37">
        <f t="shared" si="8"/>
        <v>9.027811516557426</v>
      </c>
      <c r="AW11" s="37">
        <f t="shared" si="8"/>
        <v>8.753195415960457</v>
      </c>
      <c r="AX11" s="37">
        <f t="shared" si="8"/>
        <v>8.6346890555585905</v>
      </c>
      <c r="AY11" s="37">
        <f t="shared" si="8"/>
        <v>8.0759221299803041</v>
      </c>
      <c r="AZ11" s="37">
        <f t="shared" si="8"/>
        <v>8.1035228446775811</v>
      </c>
      <c r="BA11" s="79"/>
      <c r="BB11" s="37">
        <f t="shared" si="2"/>
        <v>12.461866185065285</v>
      </c>
      <c r="BC11" s="37">
        <f t="shared" si="2"/>
        <v>-17.098294136909232</v>
      </c>
      <c r="BD11" s="37">
        <f t="shared" si="2"/>
        <v>28.759247909947128</v>
      </c>
      <c r="BE11" s="37">
        <f t="shared" si="2"/>
        <v>6.9069512559375656</v>
      </c>
      <c r="BF11" s="37">
        <f t="shared" si="2"/>
        <v>13.242903443930931</v>
      </c>
      <c r="BH11" s="262">
        <f t="shared" si="3"/>
        <v>566160.89</v>
      </c>
    </row>
    <row r="12" spans="1:64" ht="8.5500000000000007" hidden="1" customHeight="1">
      <c r="A12" s="304" t="s">
        <v>13</v>
      </c>
      <c r="B12" s="252">
        <f t="shared" ref="B12:U12" si="9">+B8+B9+B11</f>
        <v>320328.7</v>
      </c>
      <c r="C12" s="252">
        <f t="shared" si="9"/>
        <v>347567.7</v>
      </c>
      <c r="D12" s="252">
        <f t="shared" si="9"/>
        <v>431953.5</v>
      </c>
      <c r="E12" s="252">
        <f t="shared" si="9"/>
        <v>547874.5</v>
      </c>
      <c r="F12" s="252">
        <f t="shared" si="9"/>
        <v>587718.60000000009</v>
      </c>
      <c r="G12" s="252">
        <f t="shared" si="9"/>
        <v>601522.11</v>
      </c>
      <c r="H12" s="252">
        <f t="shared" si="9"/>
        <v>982937.58000000007</v>
      </c>
      <c r="I12" s="252">
        <f t="shared" si="9"/>
        <v>822553.95</v>
      </c>
      <c r="J12" s="252">
        <f t="shared" si="9"/>
        <v>1019829.3200000001</v>
      </c>
      <c r="K12" s="252">
        <f t="shared" si="9"/>
        <v>1180147.03</v>
      </c>
      <c r="L12" s="252">
        <f t="shared" si="9"/>
        <v>1141372.6299999999</v>
      </c>
      <c r="M12" s="252">
        <f t="shared" si="9"/>
        <v>1345551.78</v>
      </c>
      <c r="N12" s="252">
        <f t="shared" si="9"/>
        <v>1471440.46</v>
      </c>
      <c r="O12" s="252">
        <f t="shared" si="9"/>
        <v>1648759.55</v>
      </c>
      <c r="P12" s="252">
        <f t="shared" si="9"/>
        <v>1929444.67</v>
      </c>
      <c r="Q12" s="252">
        <f t="shared" si="9"/>
        <v>2048821.44</v>
      </c>
      <c r="R12" s="252">
        <f t="shared" si="9"/>
        <v>2332683.23</v>
      </c>
      <c r="S12" s="252">
        <f t="shared" si="9"/>
        <v>1948312.1260919999</v>
      </c>
      <c r="T12" s="252">
        <f t="shared" si="9"/>
        <v>2439958.5299999998</v>
      </c>
      <c r="U12" s="252">
        <f t="shared" si="9"/>
        <v>2760180.64</v>
      </c>
      <c r="V12" s="252">
        <f>+V8+V9+V11</f>
        <v>2849429.37</v>
      </c>
      <c r="W12" s="39"/>
      <c r="X12" s="40">
        <f t="shared" si="0"/>
        <v>8.5034528595158587</v>
      </c>
      <c r="Y12" s="40">
        <f t="shared" si="0"/>
        <v>24.278953424037965</v>
      </c>
      <c r="Z12" s="40">
        <f t="shared" si="0"/>
        <v>26.836453460847064</v>
      </c>
      <c r="AA12" s="40">
        <f t="shared" si="0"/>
        <v>7.2724866734991567</v>
      </c>
      <c r="AB12" s="40">
        <f t="shared" si="0"/>
        <v>2.3486597157210687</v>
      </c>
      <c r="AC12" s="40">
        <f t="shared" si="0"/>
        <v>63.408387432342273</v>
      </c>
      <c r="AD12" s="253">
        <f t="shared" si="0"/>
        <v>-16.316766523465319</v>
      </c>
      <c r="AE12" s="253">
        <f t="shared" si="0"/>
        <v>23.98327428857403</v>
      </c>
      <c r="AF12" s="253">
        <f t="shared" si="0"/>
        <v>15.72005303789461</v>
      </c>
      <c r="AG12" s="253">
        <f t="shared" si="0"/>
        <v>-3.2855567157594079</v>
      </c>
      <c r="AH12" s="253">
        <f t="shared" si="0"/>
        <v>17.888912405407886</v>
      </c>
      <c r="AI12" s="253">
        <f t="shared" si="0"/>
        <v>9.3559149392229202</v>
      </c>
      <c r="AJ12" s="253">
        <f t="shared" si="0"/>
        <v>12.050714576653698</v>
      </c>
      <c r="AK12" s="253">
        <f t="shared" si="0"/>
        <v>17.02401784420293</v>
      </c>
      <c r="AL12" s="253">
        <f t="shared" si="0"/>
        <v>6.1871051218068907</v>
      </c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79"/>
      <c r="BB12" s="253">
        <f t="shared" si="2"/>
        <v>13.854881858323399</v>
      </c>
      <c r="BC12" s="253">
        <f t="shared" si="2"/>
        <v>-16.477638239290638</v>
      </c>
      <c r="BD12" s="253">
        <f t="shared" si="2"/>
        <v>25.234478465940846</v>
      </c>
      <c r="BE12" s="253">
        <f t="shared" si="2"/>
        <v>13.124080022786311</v>
      </c>
      <c r="BF12" s="37">
        <f t="shared" si="2"/>
        <v>3.2334380115063732</v>
      </c>
      <c r="BH12" s="262">
        <f t="shared" si="3"/>
        <v>2760180.64</v>
      </c>
    </row>
    <row r="13" spans="1:64" ht="11.7" customHeight="1">
      <c r="A13" s="82" t="s">
        <v>14</v>
      </c>
      <c r="B13" s="34">
        <v>73498</v>
      </c>
      <c r="C13" s="34">
        <v>77502.5</v>
      </c>
      <c r="D13" s="34">
        <v>96630.2</v>
      </c>
      <c r="E13" s="34">
        <v>122970.7</v>
      </c>
      <c r="F13" s="34">
        <v>111462.39999999999</v>
      </c>
      <c r="G13" s="34">
        <v>122522.79</v>
      </c>
      <c r="H13" s="34">
        <v>191410.97</v>
      </c>
      <c r="I13" s="34">
        <v>176974.48</v>
      </c>
      <c r="J13" s="34">
        <v>217122.72</v>
      </c>
      <c r="K13" s="34">
        <v>252166.18</v>
      </c>
      <c r="L13" s="34">
        <v>248940.11</v>
      </c>
      <c r="M13" s="34">
        <v>275705.64</v>
      </c>
      <c r="N13" s="34">
        <v>336468.32</v>
      </c>
      <c r="O13" s="34">
        <v>368890.35</v>
      </c>
      <c r="P13" s="34">
        <v>415816.41</v>
      </c>
      <c r="Q13" s="34">
        <v>439899.39</v>
      </c>
      <c r="R13" s="105">
        <v>530500.87</v>
      </c>
      <c r="S13" s="34">
        <v>421719.84983399999</v>
      </c>
      <c r="T13" s="34">
        <v>579388.75</v>
      </c>
      <c r="U13" s="34">
        <v>608551.1</v>
      </c>
      <c r="V13" s="266">
        <v>616506.28</v>
      </c>
      <c r="W13" s="35"/>
      <c r="X13" s="36">
        <f t="shared" si="0"/>
        <v>5.4484475768048046</v>
      </c>
      <c r="Y13" s="36">
        <f t="shared" si="0"/>
        <v>24.68010709331956</v>
      </c>
      <c r="Z13" s="36">
        <f t="shared" si="0"/>
        <v>27.259076355011167</v>
      </c>
      <c r="AA13" s="36">
        <f t="shared" si="0"/>
        <v>-9.3585707814951018</v>
      </c>
      <c r="AB13" s="36">
        <f t="shared" si="0"/>
        <v>9.9229785111391919</v>
      </c>
      <c r="AC13" s="36">
        <f t="shared" si="0"/>
        <v>56.224788873971953</v>
      </c>
      <c r="AD13" s="37">
        <f t="shared" si="0"/>
        <v>-7.5421434832078749</v>
      </c>
      <c r="AE13" s="37">
        <f t="shared" si="0"/>
        <v>22.685892338827607</v>
      </c>
      <c r="AF13" s="37">
        <f t="shared" si="0"/>
        <v>16.139932292668391</v>
      </c>
      <c r="AG13" s="37">
        <f>((L13/K13)-1)*100</f>
        <v>-1.2793428523999562</v>
      </c>
      <c r="AH13" s="37">
        <f t="shared" si="0"/>
        <v>10.751794879499332</v>
      </c>
      <c r="AI13" s="37">
        <f t="shared" si="0"/>
        <v>22.038968807457103</v>
      </c>
      <c r="AJ13" s="37">
        <f t="shared" si="0"/>
        <v>9.6359829656474041</v>
      </c>
      <c r="AK13" s="37">
        <f t="shared" si="0"/>
        <v>12.720869494146436</v>
      </c>
      <c r="AL13" s="37">
        <f t="shared" si="0"/>
        <v>5.7917339048740413</v>
      </c>
      <c r="AN13" s="37">
        <f t="shared" ref="AN13:AZ16" si="10">+(C13/C$30)*100</f>
        <v>8.2373876908275445</v>
      </c>
      <c r="AO13" s="37">
        <f t="shared" si="10"/>
        <v>8.4942039462673034</v>
      </c>
      <c r="AP13" s="37">
        <f t="shared" si="10"/>
        <v>8.7442094030328015</v>
      </c>
      <c r="AQ13" s="37">
        <f t="shared" si="10"/>
        <v>7.8993122303538943</v>
      </c>
      <c r="AR13" s="37">
        <f t="shared" si="10"/>
        <v>6.7816467997408525</v>
      </c>
      <c r="AS13" s="37">
        <f t="shared" si="10"/>
        <v>8.5143841452962121</v>
      </c>
      <c r="AT13" s="37">
        <f t="shared" si="10"/>
        <v>7.9925294751217439</v>
      </c>
      <c r="AU13" s="37">
        <f t="shared" si="10"/>
        <v>7.8438453591532102</v>
      </c>
      <c r="AV13" s="37">
        <f t="shared" si="10"/>
        <v>8.7414927013531383</v>
      </c>
      <c r="AW13" s="37">
        <f t="shared" si="10"/>
        <v>8.5138511051905148</v>
      </c>
      <c r="AX13" s="37">
        <f t="shared" si="10"/>
        <v>8.2903278492077188</v>
      </c>
      <c r="AY13" s="37">
        <f t="shared" si="10"/>
        <v>8.6859908981915748</v>
      </c>
      <c r="AZ13" s="37">
        <f t="shared" si="10"/>
        <v>8.3107913835164666</v>
      </c>
      <c r="BA13" s="79"/>
      <c r="BB13" s="37">
        <f t="shared" si="2"/>
        <v>20.595954906870851</v>
      </c>
      <c r="BC13" s="37">
        <f t="shared" si="2"/>
        <v>-20.505342463623101</v>
      </c>
      <c r="BD13" s="37">
        <f t="shared" si="2"/>
        <v>37.387118540439261</v>
      </c>
      <c r="BE13" s="37">
        <f t="shared" si="2"/>
        <v>5.0332958656860383</v>
      </c>
      <c r="BF13" s="37">
        <f t="shared" si="2"/>
        <v>1.3072328683655376</v>
      </c>
      <c r="BH13" s="262">
        <f t="shared" si="3"/>
        <v>608551.1</v>
      </c>
    </row>
    <row r="14" spans="1:64" ht="11.7" customHeight="1">
      <c r="A14" s="84" t="s">
        <v>15</v>
      </c>
      <c r="B14" s="38">
        <f t="shared" ref="B14:V14" si="11">+B9+B11+B13</f>
        <v>200462.3</v>
      </c>
      <c r="C14" s="38">
        <f t="shared" si="11"/>
        <v>217653.8</v>
      </c>
      <c r="D14" s="38">
        <f t="shared" si="11"/>
        <v>272328.7</v>
      </c>
      <c r="E14" s="38">
        <f t="shared" si="11"/>
        <v>342266.9</v>
      </c>
      <c r="F14" s="38">
        <f t="shared" si="11"/>
        <v>344277.69999999995</v>
      </c>
      <c r="G14" s="38">
        <f t="shared" si="11"/>
        <v>363240.13999999996</v>
      </c>
      <c r="H14" s="38">
        <f t="shared" si="11"/>
        <v>527327.99</v>
      </c>
      <c r="I14" s="38">
        <f t="shared" si="11"/>
        <v>519263.49</v>
      </c>
      <c r="J14" s="38">
        <f t="shared" si="11"/>
        <v>614932.72</v>
      </c>
      <c r="K14" s="38">
        <f t="shared" si="11"/>
        <v>727236.44</v>
      </c>
      <c r="L14" s="38">
        <f t="shared" si="11"/>
        <v>717265.76</v>
      </c>
      <c r="M14" s="38">
        <f t="shared" si="11"/>
        <v>817743.06</v>
      </c>
      <c r="N14" s="38">
        <f t="shared" si="11"/>
        <v>933845.84000000008</v>
      </c>
      <c r="O14" s="38">
        <f t="shared" si="11"/>
        <v>1046120.85</v>
      </c>
      <c r="P14" s="38">
        <f t="shared" si="11"/>
        <v>1177802.1499999999</v>
      </c>
      <c r="Q14" s="38">
        <f t="shared" si="11"/>
        <v>1256779.8900000001</v>
      </c>
      <c r="R14" s="38">
        <f t="shared" si="11"/>
        <v>1464781.1</v>
      </c>
      <c r="S14" s="38">
        <f t="shared" si="11"/>
        <v>1200503.3123369999</v>
      </c>
      <c r="T14" s="252">
        <f t="shared" si="11"/>
        <v>1559788.46</v>
      </c>
      <c r="U14" s="252">
        <f t="shared" si="11"/>
        <v>1693097.44</v>
      </c>
      <c r="V14" s="252">
        <f t="shared" si="11"/>
        <v>1773630.85</v>
      </c>
      <c r="W14" s="39"/>
      <c r="X14" s="40">
        <f t="shared" si="0"/>
        <v>8.5759267453281662</v>
      </c>
      <c r="Y14" s="40">
        <f t="shared" si="0"/>
        <v>25.120121955141617</v>
      </c>
      <c r="Z14" s="40">
        <f t="shared" si="0"/>
        <v>25.681538523115634</v>
      </c>
      <c r="AA14" s="40">
        <f t="shared" si="0"/>
        <v>0.58749472998993468</v>
      </c>
      <c r="AB14" s="40">
        <f t="shared" si="0"/>
        <v>5.5078908683310113</v>
      </c>
      <c r="AC14" s="40">
        <f t="shared" si="0"/>
        <v>45.173380342822256</v>
      </c>
      <c r="AD14" s="253">
        <f t="shared" si="0"/>
        <v>-1.5293138526555339</v>
      </c>
      <c r="AE14" s="253">
        <f t="shared" si="0"/>
        <v>18.424023995987081</v>
      </c>
      <c r="AF14" s="253">
        <f t="shared" si="0"/>
        <v>18.262765396513615</v>
      </c>
      <c r="AG14" s="253">
        <f t="shared" si="0"/>
        <v>-1.3710369078865137</v>
      </c>
      <c r="AH14" s="253">
        <f t="shared" si="0"/>
        <v>14.008378149822743</v>
      </c>
      <c r="AI14" s="253">
        <f t="shared" si="0"/>
        <v>14.19795357236049</v>
      </c>
      <c r="AJ14" s="253">
        <f t="shared" si="0"/>
        <v>12.022863431077656</v>
      </c>
      <c r="AK14" s="253">
        <f t="shared" si="0"/>
        <v>12.587580106065177</v>
      </c>
      <c r="AL14" s="253">
        <f t="shared" si="0"/>
        <v>6.7055184098619769</v>
      </c>
      <c r="AN14" s="37">
        <f t="shared" si="10"/>
        <v>23.133430960057289</v>
      </c>
      <c r="AO14" s="37">
        <f t="shared" si="10"/>
        <v>23.938846429189269</v>
      </c>
      <c r="AP14" s="37">
        <f t="shared" si="10"/>
        <v>24.337939406109648</v>
      </c>
      <c r="AQ14" s="37">
        <f t="shared" si="10"/>
        <v>24.398873936395667</v>
      </c>
      <c r="AR14" s="37">
        <f t="shared" si="10"/>
        <v>20.1053725022783</v>
      </c>
      <c r="AS14" s="37">
        <f t="shared" si="10"/>
        <v>23.456717644902586</v>
      </c>
      <c r="AT14" s="37">
        <f t="shared" si="10"/>
        <v>23.451001235769048</v>
      </c>
      <c r="AU14" s="37">
        <f t="shared" si="10"/>
        <v>22.215257629249766</v>
      </c>
      <c r="AV14" s="37">
        <f t="shared" si="10"/>
        <v>25.210089760720638</v>
      </c>
      <c r="AW14" s="37">
        <f t="shared" si="10"/>
        <v>24.530775227388286</v>
      </c>
      <c r="AX14" s="37">
        <f t="shared" si="10"/>
        <v>24.589116362706029</v>
      </c>
      <c r="AY14" s="37">
        <f t="shared" si="10"/>
        <v>24.107400264470861</v>
      </c>
      <c r="AZ14" s="37">
        <f t="shared" si="10"/>
        <v>23.568228733272427</v>
      </c>
      <c r="BA14" s="79"/>
      <c r="BB14" s="253">
        <f t="shared" si="2"/>
        <v>16.550329270465959</v>
      </c>
      <c r="BC14" s="253">
        <f t="shared" si="2"/>
        <v>-18.042135283080874</v>
      </c>
      <c r="BD14" s="253">
        <f t="shared" si="2"/>
        <v>29.927876414067157</v>
      </c>
      <c r="BE14" s="253">
        <f t="shared" si="2"/>
        <v>8.546606377636623</v>
      </c>
      <c r="BF14" s="253">
        <f t="shared" si="2"/>
        <v>4.7565726636501271</v>
      </c>
      <c r="BH14" s="262" t="s">
        <v>9</v>
      </c>
    </row>
    <row r="15" spans="1:64" ht="11.7" customHeight="1">
      <c r="A15" s="84" t="s">
        <v>16</v>
      </c>
      <c r="B15" s="38">
        <f t="shared" ref="B15:V15" si="12">+B8+B9+B11+B13</f>
        <v>393826.7</v>
      </c>
      <c r="C15" s="38">
        <f t="shared" si="12"/>
        <v>425070.2</v>
      </c>
      <c r="D15" s="38">
        <f t="shared" si="12"/>
        <v>528583.69999999995</v>
      </c>
      <c r="E15" s="38">
        <f t="shared" si="12"/>
        <v>670845.19999999995</v>
      </c>
      <c r="F15" s="38">
        <f t="shared" si="12"/>
        <v>699181.00000000012</v>
      </c>
      <c r="G15" s="38">
        <f t="shared" si="12"/>
        <v>724044.9</v>
      </c>
      <c r="H15" s="38">
        <f t="shared" si="12"/>
        <v>1174348.55</v>
      </c>
      <c r="I15" s="38">
        <f t="shared" si="12"/>
        <v>999528.42999999993</v>
      </c>
      <c r="J15" s="38">
        <f t="shared" si="12"/>
        <v>1236952.04</v>
      </c>
      <c r="K15" s="38">
        <f t="shared" si="12"/>
        <v>1432313.21</v>
      </c>
      <c r="L15" s="38">
        <f t="shared" si="12"/>
        <v>1390312.7399999998</v>
      </c>
      <c r="M15" s="38">
        <f t="shared" si="12"/>
        <v>1621257.42</v>
      </c>
      <c r="N15" s="38">
        <f t="shared" si="12"/>
        <v>1807908.78</v>
      </c>
      <c r="O15" s="38">
        <f t="shared" si="12"/>
        <v>2017649.9</v>
      </c>
      <c r="P15" s="38">
        <f t="shared" si="12"/>
        <v>2345261.08</v>
      </c>
      <c r="Q15" s="38">
        <f t="shared" si="12"/>
        <v>2488720.83</v>
      </c>
      <c r="R15" s="38">
        <f t="shared" si="12"/>
        <v>2863184.1</v>
      </c>
      <c r="S15" s="38">
        <f t="shared" si="12"/>
        <v>2370031.9759259997</v>
      </c>
      <c r="T15" s="252">
        <f t="shared" si="12"/>
        <v>3019347.28</v>
      </c>
      <c r="U15" s="252">
        <f t="shared" si="12"/>
        <v>3368731.74</v>
      </c>
      <c r="V15" s="252">
        <f t="shared" si="12"/>
        <v>3465935.6500000004</v>
      </c>
      <c r="W15" s="39"/>
      <c r="X15" s="40">
        <f t="shared" si="0"/>
        <v>7.9333117840918455</v>
      </c>
      <c r="Y15" s="40">
        <f t="shared" si="0"/>
        <v>24.35209525391333</v>
      </c>
      <c r="Z15" s="40">
        <f t="shared" si="0"/>
        <v>26.913713003257577</v>
      </c>
      <c r="AA15" s="40">
        <f t="shared" si="0"/>
        <v>4.2238954679857832</v>
      </c>
      <c r="AB15" s="40">
        <f t="shared" si="0"/>
        <v>3.5561464055802183</v>
      </c>
      <c r="AC15" s="40">
        <f t="shared" si="0"/>
        <v>62.192779757166996</v>
      </c>
      <c r="AD15" s="253">
        <f t="shared" si="0"/>
        <v>-14.886561574925949</v>
      </c>
      <c r="AE15" s="253">
        <f t="shared" si="0"/>
        <v>23.753562467452795</v>
      </c>
      <c r="AF15" s="253">
        <f t="shared" si="0"/>
        <v>15.793754622855062</v>
      </c>
      <c r="AG15" s="253">
        <f>((L15/K15)-1)*100</f>
        <v>-2.9323523449176436</v>
      </c>
      <c r="AH15" s="253">
        <f t="shared" si="0"/>
        <v>16.610987827098533</v>
      </c>
      <c r="AI15" s="253">
        <f t="shared" si="0"/>
        <v>11.512752860677743</v>
      </c>
      <c r="AJ15" s="253">
        <f t="shared" si="0"/>
        <v>11.601310990922897</v>
      </c>
      <c r="AK15" s="253">
        <f t="shared" si="0"/>
        <v>16.237265939943303</v>
      </c>
      <c r="AL15" s="253">
        <f t="shared" si="0"/>
        <v>6.1170055318531924</v>
      </c>
      <c r="AN15" s="37">
        <f t="shared" si="10"/>
        <v>45.178775306830133</v>
      </c>
      <c r="AO15" s="37">
        <f t="shared" si="10"/>
        <v>46.464746533408523</v>
      </c>
      <c r="AP15" s="37">
        <f t="shared" si="10"/>
        <v>47.702508856332607</v>
      </c>
      <c r="AQ15" s="37">
        <f t="shared" si="10"/>
        <v>49.550781470083791</v>
      </c>
      <c r="AR15" s="37">
        <f t="shared" si="10"/>
        <v>40.075946515368166</v>
      </c>
      <c r="AS15" s="37">
        <f t="shared" si="10"/>
        <v>52.23762606276744</v>
      </c>
      <c r="AT15" s="37">
        <f t="shared" si="10"/>
        <v>45.140748191474614</v>
      </c>
      <c r="AU15" s="37">
        <f t="shared" si="10"/>
        <v>44.68652805403827</v>
      </c>
      <c r="AV15" s="37">
        <f t="shared" si="10"/>
        <v>49.652001197252872</v>
      </c>
      <c r="AW15" s="37">
        <f t="shared" si="10"/>
        <v>47.549250532625905</v>
      </c>
      <c r="AX15" s="37">
        <f t="shared" si="10"/>
        <v>48.750382980053118</v>
      </c>
      <c r="AY15" s="37">
        <f t="shared" si="10"/>
        <v>46.671494088479513</v>
      </c>
      <c r="AZ15" s="37">
        <f t="shared" si="10"/>
        <v>45.455966532799948</v>
      </c>
      <c r="BA15" s="79"/>
      <c r="BB15" s="253">
        <f t="shared" si="2"/>
        <v>15.046415230108391</v>
      </c>
      <c r="BC15" s="253">
        <f t="shared" si="2"/>
        <v>-17.223905513934657</v>
      </c>
      <c r="BD15" s="253">
        <f t="shared" si="2"/>
        <v>27.396900576428074</v>
      </c>
      <c r="BE15" s="253">
        <f t="shared" si="2"/>
        <v>11.571522835889226</v>
      </c>
      <c r="BF15" s="253">
        <f t="shared" si="2"/>
        <v>2.8854749354426223</v>
      </c>
      <c r="BH15" s="262" t="s">
        <v>9</v>
      </c>
    </row>
    <row r="16" spans="1:64" ht="11.7" customHeight="1">
      <c r="A16" s="82" t="s">
        <v>17</v>
      </c>
      <c r="B16" s="34">
        <v>72558</v>
      </c>
      <c r="C16" s="34">
        <v>84088.5</v>
      </c>
      <c r="D16" s="34">
        <v>93382.3</v>
      </c>
      <c r="E16" s="34">
        <v>114410.6</v>
      </c>
      <c r="F16" s="34">
        <v>113829.8</v>
      </c>
      <c r="G16" s="34">
        <v>143956.46</v>
      </c>
      <c r="H16" s="34">
        <v>192419.68</v>
      </c>
      <c r="I16" s="34">
        <v>185812.23</v>
      </c>
      <c r="J16" s="34">
        <v>238905.02</v>
      </c>
      <c r="K16" s="34">
        <v>240579.33</v>
      </c>
      <c r="L16" s="34">
        <v>234527.4</v>
      </c>
      <c r="M16" s="34">
        <v>268628.46000000002</v>
      </c>
      <c r="N16" s="34">
        <v>328597.21999999997</v>
      </c>
      <c r="O16" s="34">
        <v>390897.95</v>
      </c>
      <c r="P16" s="34">
        <v>424162.16</v>
      </c>
      <c r="Q16" s="34">
        <v>411816.56</v>
      </c>
      <c r="R16" s="105">
        <v>575282.28</v>
      </c>
      <c r="S16" s="34">
        <v>437742.43440600001</v>
      </c>
      <c r="T16" s="34">
        <v>500070.71</v>
      </c>
      <c r="U16" s="34">
        <v>619845.76</v>
      </c>
      <c r="V16" s="34">
        <v>610940.37</v>
      </c>
      <c r="W16" s="41"/>
      <c r="X16" s="36">
        <f t="shared" si="0"/>
        <v>15.891424791201514</v>
      </c>
      <c r="Y16" s="36">
        <f t="shared" si="0"/>
        <v>11.052403122900278</v>
      </c>
      <c r="Z16" s="36">
        <f t="shared" si="0"/>
        <v>22.518507254586794</v>
      </c>
      <c r="AA16" s="36">
        <f t="shared" si="0"/>
        <v>-0.50764527063051901</v>
      </c>
      <c r="AB16" s="36">
        <f t="shared" si="0"/>
        <v>26.466408620589689</v>
      </c>
      <c r="AC16" s="36">
        <f t="shared" si="0"/>
        <v>33.665192934030188</v>
      </c>
      <c r="AD16" s="37">
        <f t="shared" si="0"/>
        <v>-3.4338743313573672</v>
      </c>
      <c r="AE16" s="37">
        <f t="shared" si="0"/>
        <v>28.573356016447349</v>
      </c>
      <c r="AF16" s="37">
        <f t="shared" si="0"/>
        <v>0.70082662976274079</v>
      </c>
      <c r="AG16" s="37">
        <f t="shared" si="0"/>
        <v>-2.5155652399563966</v>
      </c>
      <c r="AH16" s="37">
        <f t="shared" si="0"/>
        <v>14.540330895238696</v>
      </c>
      <c r="AI16" s="37">
        <f t="shared" si="0"/>
        <v>22.324053080600592</v>
      </c>
      <c r="AJ16" s="37">
        <f t="shared" si="0"/>
        <v>18.959603492689325</v>
      </c>
      <c r="AK16" s="37">
        <f t="shared" si="0"/>
        <v>8.5096915959779196</v>
      </c>
      <c r="AL16" s="37">
        <f t="shared" si="0"/>
        <v>-2.9105849517552351</v>
      </c>
      <c r="AN16" s="37">
        <f t="shared" si="10"/>
        <v>8.9373836307235504</v>
      </c>
      <c r="AO16" s="37">
        <f t="shared" si="10"/>
        <v>8.2086997767935621</v>
      </c>
      <c r="AP16" s="37">
        <f t="shared" si="10"/>
        <v>8.1355171949629028</v>
      </c>
      <c r="AQ16" s="37">
        <f t="shared" si="10"/>
        <v>8.0670892724249406</v>
      </c>
      <c r="AR16" s="37">
        <f t="shared" si="10"/>
        <v>7.9680022488960791</v>
      </c>
      <c r="AS16" s="37">
        <f t="shared" si="10"/>
        <v>8.5592538015714084</v>
      </c>
      <c r="AT16" s="37">
        <f t="shared" si="10"/>
        <v>8.3916603405931802</v>
      </c>
      <c r="AU16" s="37">
        <f t="shared" si="10"/>
        <v>8.6307597491658399</v>
      </c>
      <c r="AV16" s="37">
        <f t="shared" si="10"/>
        <v>8.3398275585228259</v>
      </c>
      <c r="AW16" s="37">
        <f t="shared" si="10"/>
        <v>8.0209306715878679</v>
      </c>
      <c r="AX16" s="37">
        <f t="shared" si="10"/>
        <v>8.0775206594532545</v>
      </c>
      <c r="AY16" s="37">
        <f t="shared" si="10"/>
        <v>8.4827970196155587</v>
      </c>
      <c r="AZ16" s="37">
        <f t="shared" si="10"/>
        <v>8.8066042245188871</v>
      </c>
      <c r="BA16" s="79"/>
      <c r="BB16" s="37">
        <f t="shared" si="2"/>
        <v>39.6938190149517</v>
      </c>
      <c r="BC16" s="37">
        <f t="shared" si="2"/>
        <v>-23.908236073949642</v>
      </c>
      <c r="BD16" s="37">
        <f t="shared" si="2"/>
        <v>14.238572890146495</v>
      </c>
      <c r="BE16" s="37">
        <f t="shared" si="2"/>
        <v>23.951622761509061</v>
      </c>
      <c r="BF16" s="37">
        <f t="shared" si="2"/>
        <v>-1.4367106423378684</v>
      </c>
      <c r="BH16" s="262">
        <f t="shared" si="3"/>
        <v>619845.76</v>
      </c>
      <c r="BJ16" s="269" t="s">
        <v>18</v>
      </c>
      <c r="BK16" s="269" t="s">
        <v>18</v>
      </c>
      <c r="BL16" s="269" t="s">
        <v>18</v>
      </c>
    </row>
    <row r="17" spans="1:64" ht="8.5500000000000007" hidden="1" customHeight="1">
      <c r="A17" s="305" t="s">
        <v>19</v>
      </c>
      <c r="B17" s="252">
        <f t="shared" ref="B17:U17" si="13">+B15+B16</f>
        <v>466384.7</v>
      </c>
      <c r="C17" s="252">
        <f t="shared" si="13"/>
        <v>509158.7</v>
      </c>
      <c r="D17" s="252">
        <f t="shared" si="13"/>
        <v>621966</v>
      </c>
      <c r="E17" s="252">
        <f t="shared" si="13"/>
        <v>785255.79999999993</v>
      </c>
      <c r="F17" s="252">
        <f t="shared" si="13"/>
        <v>813010.80000000016</v>
      </c>
      <c r="G17" s="252">
        <f t="shared" si="13"/>
        <v>868001.36</v>
      </c>
      <c r="H17" s="252">
        <f t="shared" si="13"/>
        <v>1366768.23</v>
      </c>
      <c r="I17" s="252">
        <f t="shared" si="13"/>
        <v>1185340.6599999999</v>
      </c>
      <c r="J17" s="252">
        <f t="shared" si="13"/>
        <v>1475857.06</v>
      </c>
      <c r="K17" s="252">
        <f t="shared" si="13"/>
        <v>1672892.54</v>
      </c>
      <c r="L17" s="252">
        <f t="shared" si="13"/>
        <v>1624840.1399999997</v>
      </c>
      <c r="M17" s="252">
        <f t="shared" si="13"/>
        <v>1889885.88</v>
      </c>
      <c r="N17" s="252">
        <f t="shared" si="13"/>
        <v>2136506</v>
      </c>
      <c r="O17" s="252">
        <f t="shared" si="13"/>
        <v>2408547.85</v>
      </c>
      <c r="P17" s="252">
        <f t="shared" si="13"/>
        <v>2769423.24</v>
      </c>
      <c r="Q17" s="252">
        <f t="shared" si="13"/>
        <v>2900537.39</v>
      </c>
      <c r="R17" s="252">
        <f t="shared" si="13"/>
        <v>3438466.38</v>
      </c>
      <c r="S17" s="252">
        <f t="shared" si="13"/>
        <v>2807774.4103319999</v>
      </c>
      <c r="T17" s="252">
        <f t="shared" si="13"/>
        <v>3519417.9899999998</v>
      </c>
      <c r="U17" s="252">
        <f t="shared" si="13"/>
        <v>3988577.5</v>
      </c>
      <c r="V17" s="252">
        <f>+V15+V16</f>
        <v>4076876.0200000005</v>
      </c>
      <c r="W17" s="39"/>
      <c r="X17" s="40">
        <f t="shared" si="0"/>
        <v>9.1713986329311492</v>
      </c>
      <c r="Y17" s="40">
        <f t="shared" si="0"/>
        <v>22.155626526660544</v>
      </c>
      <c r="Z17" s="40">
        <f t="shared" si="0"/>
        <v>26.253814517192243</v>
      </c>
      <c r="AA17" s="40">
        <f t="shared" si="0"/>
        <v>3.5345170325389752</v>
      </c>
      <c r="AB17" s="40">
        <f t="shared" si="0"/>
        <v>6.7638166676260436</v>
      </c>
      <c r="AC17" s="40">
        <f t="shared" si="0"/>
        <v>57.461530935850156</v>
      </c>
      <c r="AD17" s="253">
        <f t="shared" si="0"/>
        <v>-13.274201581346389</v>
      </c>
      <c r="AE17" s="253">
        <f t="shared" si="0"/>
        <v>24.509106099507317</v>
      </c>
      <c r="AF17" s="253">
        <f t="shared" si="0"/>
        <v>13.350580170684001</v>
      </c>
      <c r="AG17" s="253">
        <f>((L17/K17)-1)*100</f>
        <v>-2.8724140284587807</v>
      </c>
      <c r="AH17" s="253">
        <f>((M17/L17)-1)*100</f>
        <v>16.312111787194048</v>
      </c>
      <c r="AI17" s="253">
        <f>((N17/M17)-1)*100</f>
        <v>13.0494715374031</v>
      </c>
      <c r="AJ17" s="253">
        <f t="shared" si="0"/>
        <v>12.733025322652969</v>
      </c>
      <c r="AK17" s="253">
        <f t="shared" si="0"/>
        <v>14.983110673927458</v>
      </c>
      <c r="AL17" s="253">
        <f t="shared" si="0"/>
        <v>4.7343485858809986</v>
      </c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79"/>
      <c r="BB17" s="253">
        <f t="shared" si="2"/>
        <v>18.545838845400976</v>
      </c>
      <c r="BC17" s="306">
        <f t="shared" si="2"/>
        <v>-18.342246221642565</v>
      </c>
      <c r="BD17" s="253">
        <f t="shared" si="2"/>
        <v>25.345468533700789</v>
      </c>
      <c r="BE17" s="253">
        <f t="shared" si="2"/>
        <v>13.33059930173286</v>
      </c>
      <c r="BF17" s="37">
        <f t="shared" si="2"/>
        <v>2.2137847390454546</v>
      </c>
      <c r="BH17" s="262">
        <f t="shared" si="3"/>
        <v>3988577.5</v>
      </c>
    </row>
    <row r="18" spans="1:64" ht="11.7" customHeight="1">
      <c r="A18" s="82" t="s">
        <v>20</v>
      </c>
      <c r="B18" s="34">
        <v>68826.7</v>
      </c>
      <c r="C18" s="34">
        <v>81999.600000000006</v>
      </c>
      <c r="D18" s="34">
        <v>95188.800000000003</v>
      </c>
      <c r="E18" s="34">
        <v>121684.4</v>
      </c>
      <c r="F18" s="34">
        <v>120772.7</v>
      </c>
      <c r="G18" s="34">
        <v>156230.14000000001</v>
      </c>
      <c r="H18" s="38">
        <v>178251.21</v>
      </c>
      <c r="I18" s="43">
        <v>186518.34</v>
      </c>
      <c r="J18" s="43">
        <v>251237.42</v>
      </c>
      <c r="K18" s="43">
        <v>261844.5</v>
      </c>
      <c r="L18" s="43">
        <v>252317.34</v>
      </c>
      <c r="M18" s="43">
        <v>269863.63</v>
      </c>
      <c r="N18" s="43">
        <v>331478.68</v>
      </c>
      <c r="O18" s="43">
        <v>424989.77</v>
      </c>
      <c r="P18" s="43">
        <v>447206.33</v>
      </c>
      <c r="Q18" s="34">
        <v>468413.76</v>
      </c>
      <c r="R18" s="105">
        <v>539485.92000000004</v>
      </c>
      <c r="S18" s="34">
        <v>448628.41962300002</v>
      </c>
      <c r="T18" s="34">
        <v>527223.32999999996</v>
      </c>
      <c r="U18" s="34">
        <v>630383.86</v>
      </c>
      <c r="V18" s="34">
        <v>621324.23</v>
      </c>
      <c r="W18" s="41"/>
      <c r="X18" s="36">
        <f t="shared" si="0"/>
        <v>19.139229397893565</v>
      </c>
      <c r="Y18" s="36">
        <f t="shared" si="0"/>
        <v>16.084468704725374</v>
      </c>
      <c r="Z18" s="36">
        <f t="shared" si="0"/>
        <v>27.834787285899164</v>
      </c>
      <c r="AA18" s="36">
        <f t="shared" si="0"/>
        <v>-0.74923326243955257</v>
      </c>
      <c r="AB18" s="36">
        <f t="shared" si="0"/>
        <v>29.35882032942876</v>
      </c>
      <c r="AC18" s="36">
        <f t="shared" si="0"/>
        <v>14.095276366007203</v>
      </c>
      <c r="AD18" s="37">
        <f t="shared" si="0"/>
        <v>4.6379096108239537</v>
      </c>
      <c r="AE18" s="37">
        <f t="shared" si="0"/>
        <v>34.698507396109157</v>
      </c>
      <c r="AF18" s="37">
        <f t="shared" si="0"/>
        <v>4.2219347738883695</v>
      </c>
      <c r="AG18" s="37">
        <f>((L18/K18)-1)*100</f>
        <v>-3.638480090282592</v>
      </c>
      <c r="AH18" s="37">
        <f t="shared" si="0"/>
        <v>6.9540563482478168</v>
      </c>
      <c r="AI18" s="37">
        <f t="shared" si="0"/>
        <v>22.831920700095807</v>
      </c>
      <c r="AJ18" s="37">
        <f t="shared" si="0"/>
        <v>28.210287913539432</v>
      </c>
      <c r="AK18" s="37">
        <f t="shared" si="0"/>
        <v>5.2275517125977</v>
      </c>
      <c r="AL18" s="37">
        <f t="shared" si="0"/>
        <v>4.7422025533493617</v>
      </c>
      <c r="AM18" s="307"/>
      <c r="AN18" s="37">
        <f t="shared" ref="AN18:AZ18" si="14">+(C18/C$30)*100</f>
        <v>8.7153639649402574</v>
      </c>
      <c r="AO18" s="37">
        <f t="shared" si="14"/>
        <v>8.367498779889198</v>
      </c>
      <c r="AP18" s="37">
        <f t="shared" si="14"/>
        <v>8.6527430898775446</v>
      </c>
      <c r="AQ18" s="37">
        <f t="shared" si="14"/>
        <v>8.5591308477375492</v>
      </c>
      <c r="AR18" s="37">
        <f t="shared" si="14"/>
        <v>8.6473514760320551</v>
      </c>
      <c r="AS18" s="37">
        <f t="shared" si="14"/>
        <v>7.9290088562001735</v>
      </c>
      <c r="AT18" s="37">
        <f t="shared" si="14"/>
        <v>8.4235497123697094</v>
      </c>
      <c r="AU18" s="37">
        <f t="shared" si="14"/>
        <v>9.0762840061722994</v>
      </c>
      <c r="AV18" s="37">
        <f t="shared" si="14"/>
        <v>9.0769975007729489</v>
      </c>
      <c r="AW18" s="37">
        <f t="shared" si="14"/>
        <v>8.6293537189235234</v>
      </c>
      <c r="AX18" s="37">
        <f t="shared" si="14"/>
        <v>8.1146615908085415</v>
      </c>
      <c r="AY18" s="37">
        <f t="shared" si="14"/>
        <v>8.5571824337713505</v>
      </c>
      <c r="AZ18" s="37">
        <f t="shared" si="14"/>
        <v>9.5746644459488977</v>
      </c>
      <c r="BA18" s="79"/>
      <c r="BB18" s="37">
        <f t="shared" si="2"/>
        <v>15.172944535190425</v>
      </c>
      <c r="BC18" s="37">
        <f t="shared" si="2"/>
        <v>-16.841496137100297</v>
      </c>
      <c r="BD18" s="37">
        <f t="shared" si="2"/>
        <v>17.518932581900692</v>
      </c>
      <c r="BE18" s="37">
        <f t="shared" si="2"/>
        <v>19.566761205351057</v>
      </c>
      <c r="BF18" s="37">
        <f t="shared" si="2"/>
        <v>-1.4371608435533201</v>
      </c>
      <c r="BH18" s="262">
        <f t="shared" si="3"/>
        <v>630383.86</v>
      </c>
      <c r="BJ18" s="267">
        <f>(U4+U5+U7+U9+U11+U13+U16+U18)</f>
        <v>4618961.3600000003</v>
      </c>
      <c r="BK18" s="267">
        <f>(V4+V5+V7+V9+V11+V13+V16+V18)</f>
        <v>4698200.25</v>
      </c>
      <c r="BL18" s="268">
        <f>((BK18/BJ18)-1)*100</f>
        <v>1.715513160300608</v>
      </c>
    </row>
    <row r="19" spans="1:64" ht="8.5500000000000007" hidden="1" customHeight="1">
      <c r="A19" s="305" t="s">
        <v>21</v>
      </c>
      <c r="B19" s="252">
        <f t="shared" ref="B19:U19" si="15">B18+B17</f>
        <v>535211.4</v>
      </c>
      <c r="C19" s="252">
        <f t="shared" si="15"/>
        <v>591158.30000000005</v>
      </c>
      <c r="D19" s="252">
        <f t="shared" si="15"/>
        <v>717154.8</v>
      </c>
      <c r="E19" s="252">
        <f t="shared" si="15"/>
        <v>906940.2</v>
      </c>
      <c r="F19" s="252">
        <f t="shared" si="15"/>
        <v>933783.50000000012</v>
      </c>
      <c r="G19" s="252">
        <f t="shared" si="15"/>
        <v>1024231.5</v>
      </c>
      <c r="H19" s="252">
        <f t="shared" si="15"/>
        <v>1545019.44</v>
      </c>
      <c r="I19" s="252">
        <f t="shared" si="15"/>
        <v>1371859</v>
      </c>
      <c r="J19" s="252">
        <f t="shared" si="15"/>
        <v>1727094.48</v>
      </c>
      <c r="K19" s="252">
        <f t="shared" si="15"/>
        <v>1934737.04</v>
      </c>
      <c r="L19" s="252">
        <f t="shared" si="15"/>
        <v>1877157.4799999997</v>
      </c>
      <c r="M19" s="252">
        <f t="shared" si="15"/>
        <v>2159749.5099999998</v>
      </c>
      <c r="N19" s="252">
        <f t="shared" si="15"/>
        <v>2467984.6800000002</v>
      </c>
      <c r="O19" s="252">
        <f t="shared" si="15"/>
        <v>2833537.62</v>
      </c>
      <c r="P19" s="252">
        <f t="shared" si="15"/>
        <v>3216629.5700000003</v>
      </c>
      <c r="Q19" s="252">
        <f t="shared" si="15"/>
        <v>3368951.1500000004</v>
      </c>
      <c r="R19" s="252">
        <f t="shared" si="15"/>
        <v>3977952.3</v>
      </c>
      <c r="S19" s="252">
        <f t="shared" si="15"/>
        <v>3256402.829955</v>
      </c>
      <c r="T19" s="252">
        <f t="shared" si="15"/>
        <v>4046641.32</v>
      </c>
      <c r="U19" s="252">
        <f t="shared" si="15"/>
        <v>4618961.3600000003</v>
      </c>
      <c r="V19" s="252">
        <f>V18+V17</f>
        <v>4698200.25</v>
      </c>
      <c r="W19" s="39"/>
      <c r="X19" s="40"/>
      <c r="Y19" s="40"/>
      <c r="Z19" s="40"/>
      <c r="AA19" s="40"/>
      <c r="AB19" s="40"/>
      <c r="AC19" s="40"/>
      <c r="AD19" s="253"/>
      <c r="AE19" s="253"/>
      <c r="AF19" s="37">
        <f>((K19/J19)-1)*100</f>
        <v>12.02265205549149</v>
      </c>
      <c r="AG19" s="37">
        <f>((L19/K19)-1)*100</f>
        <v>-2.976092296243027</v>
      </c>
      <c r="AH19" s="253">
        <f>((M19/L19)-1)*100</f>
        <v>15.054252667176327</v>
      </c>
      <c r="AI19" s="253">
        <f>((N19/M19)-1)*100</f>
        <v>14.271801825758978</v>
      </c>
      <c r="AJ19" s="253">
        <f t="shared" si="0"/>
        <v>14.811799399014092</v>
      </c>
      <c r="AK19" s="253">
        <f t="shared" si="0"/>
        <v>13.519917550979965</v>
      </c>
      <c r="AL19" s="253">
        <f t="shared" si="0"/>
        <v>4.7354405188782867</v>
      </c>
      <c r="AM19" s="30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79"/>
      <c r="BB19" s="253">
        <f t="shared" si="2"/>
        <v>18.076876834500833</v>
      </c>
      <c r="BC19" s="306">
        <f t="shared" si="2"/>
        <v>-18.138715993276232</v>
      </c>
      <c r="BD19" s="253">
        <f t="shared" si="2"/>
        <v>24.267221572704511</v>
      </c>
      <c r="BE19" s="253">
        <f t="shared" si="2"/>
        <v>14.143087927545817</v>
      </c>
      <c r="BF19" s="253">
        <f t="shared" si="2"/>
        <v>1.715513160300608</v>
      </c>
      <c r="BH19" s="262">
        <f t="shared" si="3"/>
        <v>4618961.3600000003</v>
      </c>
    </row>
    <row r="20" spans="1:64" ht="11.7" customHeight="1">
      <c r="A20" s="82" t="s">
        <v>22</v>
      </c>
      <c r="B20" s="34">
        <v>73288.899999999994</v>
      </c>
      <c r="C20" s="34">
        <v>92001.5</v>
      </c>
      <c r="D20" s="34">
        <v>107311.9</v>
      </c>
      <c r="E20" s="34">
        <v>126233.8</v>
      </c>
      <c r="F20" s="34">
        <v>115066.4</v>
      </c>
      <c r="G20" s="34">
        <v>180947.6</v>
      </c>
      <c r="H20" s="34">
        <v>190391.72</v>
      </c>
      <c r="I20" s="34">
        <v>200764.3</v>
      </c>
      <c r="J20" s="34">
        <v>247289.65</v>
      </c>
      <c r="K20" s="34">
        <v>245604.8</v>
      </c>
      <c r="L20" s="34">
        <v>264782.17</v>
      </c>
      <c r="M20" s="34">
        <v>293948.75</v>
      </c>
      <c r="N20" s="34">
        <v>351341.78</v>
      </c>
      <c r="O20" s="34">
        <v>427871.34</v>
      </c>
      <c r="P20" s="34">
        <v>449756.43</v>
      </c>
      <c r="Q20" s="43">
        <v>465126.3</v>
      </c>
      <c r="R20" s="106">
        <v>549982.14</v>
      </c>
      <c r="S20" s="34">
        <v>503621.65411900001</v>
      </c>
      <c r="T20" s="34">
        <v>565866.06999999995</v>
      </c>
      <c r="U20" s="34"/>
      <c r="V20" s="34" t="s">
        <v>9</v>
      </c>
      <c r="W20" s="41"/>
      <c r="X20" s="36">
        <f t="shared" ref="X20:AL30" si="16">((C20/B20)-1)*100</f>
        <v>25.532652284315915</v>
      </c>
      <c r="Y20" s="36">
        <f t="shared" si="16"/>
        <v>16.641467802155386</v>
      </c>
      <c r="Z20" s="36">
        <f t="shared" si="16"/>
        <v>17.632620426998315</v>
      </c>
      <c r="AA20" s="36">
        <f t="shared" si="16"/>
        <v>-8.8466005142838195</v>
      </c>
      <c r="AB20" s="36">
        <f t="shared" si="16"/>
        <v>57.254941494650069</v>
      </c>
      <c r="AC20" s="36">
        <f t="shared" si="16"/>
        <v>5.2192568456282284</v>
      </c>
      <c r="AD20" s="37">
        <f t="shared" si="16"/>
        <v>5.4480205336660648</v>
      </c>
      <c r="AE20" s="37">
        <f t="shared" si="16"/>
        <v>23.174115119072457</v>
      </c>
      <c r="AF20" s="37">
        <f t="shared" si="16"/>
        <v>-0.68132653348007555</v>
      </c>
      <c r="AG20" s="37">
        <f t="shared" si="16"/>
        <v>7.8082228034631163</v>
      </c>
      <c r="AH20" s="37">
        <f t="shared" si="16"/>
        <v>11.01531118957142</v>
      </c>
      <c r="AI20" s="37">
        <f t="shared" si="16"/>
        <v>19.524842340714166</v>
      </c>
      <c r="AJ20" s="37">
        <f t="shared" si="16"/>
        <v>21.782083531312434</v>
      </c>
      <c r="AK20" s="37">
        <f t="shared" si="16"/>
        <v>5.114876355121134</v>
      </c>
      <c r="AL20" s="37">
        <f t="shared" si="16"/>
        <v>3.4173763785878553</v>
      </c>
      <c r="AN20" s="37">
        <f t="shared" ref="AN20:AZ23" si="17">+(C20/C$30)*100</f>
        <v>9.7784203559584579</v>
      </c>
      <c r="AO20" s="37">
        <f t="shared" si="17"/>
        <v>9.4331706284519985</v>
      </c>
      <c r="AP20" s="37">
        <f t="shared" si="17"/>
        <v>8.976242153135356</v>
      </c>
      <c r="AQ20" s="37">
        <f t="shared" si="17"/>
        <v>8.1547268031443192</v>
      </c>
      <c r="AR20" s="37">
        <f t="shared" si="17"/>
        <v>10.015464979705309</v>
      </c>
      <c r="AS20" s="37">
        <f t="shared" si="17"/>
        <v>8.4690456464625594</v>
      </c>
      <c r="AT20" s="37">
        <f t="shared" si="17"/>
        <v>9.0669264026213501</v>
      </c>
      <c r="AU20" s="37">
        <f t="shared" si="17"/>
        <v>8.9336655948263815</v>
      </c>
      <c r="AV20" s="37">
        <f t="shared" si="17"/>
        <v>8.5140385067390767</v>
      </c>
      <c r="AW20" s="37">
        <f t="shared" si="17"/>
        <v>9.0556558791961752</v>
      </c>
      <c r="AX20" s="37">
        <f t="shared" si="17"/>
        <v>8.8388888539414605</v>
      </c>
      <c r="AY20" s="37">
        <f t="shared" si="17"/>
        <v>9.069951974184157</v>
      </c>
      <c r="AZ20" s="37">
        <f t="shared" si="17"/>
        <v>9.6395838105432805</v>
      </c>
      <c r="BA20" s="79"/>
      <c r="BB20" s="37">
        <f t="shared" si="2"/>
        <v>18.243612541367792</v>
      </c>
      <c r="BC20" s="37">
        <f t="shared" si="2"/>
        <v>-8.4294529784185386</v>
      </c>
      <c r="BD20" s="37">
        <f t="shared" si="2"/>
        <v>12.359360518341077</v>
      </c>
      <c r="BE20" s="140">
        <f t="shared" si="2"/>
        <v>-100</v>
      </c>
      <c r="BF20" s="140" t="s">
        <v>9</v>
      </c>
      <c r="BH20" s="262">
        <f t="shared" si="3"/>
        <v>0</v>
      </c>
    </row>
    <row r="21" spans="1:64" ht="11.7" customHeight="1">
      <c r="A21" s="84" t="s">
        <v>23</v>
      </c>
      <c r="B21" s="38">
        <f t="shared" ref="B21:T21" si="18">+B16+B18+B20</f>
        <v>214673.6</v>
      </c>
      <c r="C21" s="38">
        <f t="shared" si="18"/>
        <v>258089.60000000001</v>
      </c>
      <c r="D21" s="38">
        <f t="shared" si="18"/>
        <v>295883</v>
      </c>
      <c r="E21" s="38">
        <f t="shared" si="18"/>
        <v>362328.8</v>
      </c>
      <c r="F21" s="38">
        <f t="shared" si="18"/>
        <v>349668.9</v>
      </c>
      <c r="G21" s="38">
        <f t="shared" si="18"/>
        <v>481134.19999999995</v>
      </c>
      <c r="H21" s="38">
        <f t="shared" si="18"/>
        <v>561062.61</v>
      </c>
      <c r="I21" s="38">
        <f t="shared" si="18"/>
        <v>573094.87</v>
      </c>
      <c r="J21" s="38">
        <f t="shared" si="18"/>
        <v>737432.09</v>
      </c>
      <c r="K21" s="38">
        <f t="shared" si="18"/>
        <v>748028.62999999989</v>
      </c>
      <c r="L21" s="38">
        <f t="shared" si="18"/>
        <v>751626.90999999992</v>
      </c>
      <c r="M21" s="38">
        <f t="shared" si="18"/>
        <v>832440.84000000008</v>
      </c>
      <c r="N21" s="38">
        <f t="shared" si="18"/>
        <v>1011417.6799999999</v>
      </c>
      <c r="O21" s="38">
        <f t="shared" si="18"/>
        <v>1243759.06</v>
      </c>
      <c r="P21" s="38">
        <f t="shared" si="18"/>
        <v>1321124.92</v>
      </c>
      <c r="Q21" s="38">
        <f t="shared" si="18"/>
        <v>1345356.62</v>
      </c>
      <c r="R21" s="38">
        <f t="shared" si="18"/>
        <v>1664750.3400000003</v>
      </c>
      <c r="S21" s="38">
        <f t="shared" si="18"/>
        <v>1389992.5081480001</v>
      </c>
      <c r="T21" s="38">
        <f t="shared" si="18"/>
        <v>1593160.1099999999</v>
      </c>
      <c r="U21" s="38"/>
      <c r="V21" s="38" t="s">
        <v>9</v>
      </c>
      <c r="W21" s="39"/>
      <c r="X21" s="40">
        <f t="shared" si="16"/>
        <v>20.224191516795731</v>
      </c>
      <c r="Y21" s="40">
        <f t="shared" si="16"/>
        <v>14.643519149938623</v>
      </c>
      <c r="Z21" s="40">
        <f t="shared" si="16"/>
        <v>22.456781903657852</v>
      </c>
      <c r="AA21" s="40">
        <f t="shared" si="16"/>
        <v>-3.4940363559286425</v>
      </c>
      <c r="AB21" s="40">
        <f t="shared" si="16"/>
        <v>37.597081124458008</v>
      </c>
      <c r="AC21" s="40">
        <f t="shared" si="16"/>
        <v>16.612498134616093</v>
      </c>
      <c r="AD21" s="253">
        <f t="shared" si="16"/>
        <v>2.1445485379965046</v>
      </c>
      <c r="AE21" s="253">
        <f t="shared" si="16"/>
        <v>28.675395401811919</v>
      </c>
      <c r="AF21" s="253">
        <f t="shared" si="16"/>
        <v>1.4369512994748979</v>
      </c>
      <c r="AG21" s="253">
        <f t="shared" si="16"/>
        <v>0.4810350641258232</v>
      </c>
      <c r="AH21" s="253">
        <f t="shared" si="16"/>
        <v>10.751867572170903</v>
      </c>
      <c r="AI21" s="253">
        <f t="shared" si="16"/>
        <v>21.500247392955863</v>
      </c>
      <c r="AJ21" s="253">
        <f t="shared" si="16"/>
        <v>22.971852736448128</v>
      </c>
      <c r="AK21" s="253">
        <f t="shared" si="16"/>
        <v>6.2203253417908666</v>
      </c>
      <c r="AL21" s="253">
        <f t="shared" si="16"/>
        <v>1.8341717450913064</v>
      </c>
      <c r="AN21" s="37">
        <f t="shared" si="17"/>
        <v>27.431167951622264</v>
      </c>
      <c r="AO21" s="37">
        <f t="shared" si="17"/>
        <v>26.009369185134755</v>
      </c>
      <c r="AP21" s="37">
        <f t="shared" si="17"/>
        <v>25.764502437975807</v>
      </c>
      <c r="AQ21" s="37">
        <f t="shared" si="17"/>
        <v>24.780946923306811</v>
      </c>
      <c r="AR21" s="37">
        <f t="shared" si="17"/>
        <v>26.630818704633441</v>
      </c>
      <c r="AS21" s="37">
        <f t="shared" si="17"/>
        <v>24.957308304234139</v>
      </c>
      <c r="AT21" s="37">
        <f t="shared" si="17"/>
        <v>25.882136455584238</v>
      </c>
      <c r="AU21" s="37">
        <f t="shared" si="17"/>
        <v>26.640709350164514</v>
      </c>
      <c r="AV21" s="37">
        <f t="shared" si="17"/>
        <v>25.930863566034844</v>
      </c>
      <c r="AW21" s="37">
        <f t="shared" si="17"/>
        <v>25.705940269707568</v>
      </c>
      <c r="AX21" s="37">
        <f t="shared" si="17"/>
        <v>25.031071104203264</v>
      </c>
      <c r="AY21" s="37">
        <f t="shared" si="17"/>
        <v>26.109931427571066</v>
      </c>
      <c r="AZ21" s="37">
        <f t="shared" si="17"/>
        <v>28.020852481011065</v>
      </c>
      <c r="BA21" s="79"/>
      <c r="BB21" s="253">
        <f t="shared" si="2"/>
        <v>23.740450320153794</v>
      </c>
      <c r="BC21" s="306">
        <f t="shared" si="2"/>
        <v>-16.504446657869444</v>
      </c>
      <c r="BD21" s="253">
        <f t="shared" si="2"/>
        <v>14.616453014030739</v>
      </c>
      <c r="BE21" s="253">
        <f t="shared" si="2"/>
        <v>-100</v>
      </c>
      <c r="BF21" s="253" t="s">
        <v>9</v>
      </c>
      <c r="BH21" s="262" t="s">
        <v>9</v>
      </c>
    </row>
    <row r="22" spans="1:64" ht="8.5500000000000007" hidden="1" customHeight="1">
      <c r="A22" s="305" t="s">
        <v>24</v>
      </c>
      <c r="B22" s="38">
        <f t="shared" ref="B22:V22" si="19">+B15+B16+B18+B20</f>
        <v>608500.30000000005</v>
      </c>
      <c r="C22" s="38">
        <f t="shared" si="19"/>
        <v>683159.8</v>
      </c>
      <c r="D22" s="38">
        <f t="shared" si="19"/>
        <v>824466.70000000007</v>
      </c>
      <c r="E22" s="38">
        <f t="shared" si="19"/>
        <v>1033174</v>
      </c>
      <c r="F22" s="38">
        <f t="shared" si="19"/>
        <v>1048849.9000000001</v>
      </c>
      <c r="G22" s="38">
        <f t="shared" si="19"/>
        <v>1205179.1000000001</v>
      </c>
      <c r="H22" s="38">
        <f t="shared" si="19"/>
        <v>1735411.16</v>
      </c>
      <c r="I22" s="38">
        <f t="shared" si="19"/>
        <v>1572623.3</v>
      </c>
      <c r="J22" s="38">
        <f t="shared" si="19"/>
        <v>1974384.13</v>
      </c>
      <c r="K22" s="38">
        <f t="shared" si="19"/>
        <v>2180341.84</v>
      </c>
      <c r="L22" s="38">
        <f t="shared" si="19"/>
        <v>2141939.65</v>
      </c>
      <c r="M22" s="38">
        <f t="shared" si="19"/>
        <v>2453698.2599999998</v>
      </c>
      <c r="N22" s="38">
        <f t="shared" si="19"/>
        <v>2819326.46</v>
      </c>
      <c r="O22" s="38">
        <f t="shared" si="19"/>
        <v>3261408.96</v>
      </c>
      <c r="P22" s="38">
        <f t="shared" si="19"/>
        <v>3666386.0000000005</v>
      </c>
      <c r="Q22" s="38">
        <f t="shared" si="19"/>
        <v>3834077.45</v>
      </c>
      <c r="R22" s="38">
        <f t="shared" si="19"/>
        <v>4527934.4399999995</v>
      </c>
      <c r="S22" s="38">
        <f t="shared" si="19"/>
        <v>3760024.4840739998</v>
      </c>
      <c r="T22" s="38">
        <f t="shared" si="19"/>
        <v>4612507.3899999997</v>
      </c>
      <c r="U22" s="38"/>
      <c r="V22" s="38" t="e">
        <f t="shared" si="19"/>
        <v>#VALUE!</v>
      </c>
      <c r="W22" s="39"/>
      <c r="X22" s="40">
        <f t="shared" si="16"/>
        <v>12.269426983026953</v>
      </c>
      <c r="Y22" s="40">
        <f t="shared" si="16"/>
        <v>20.68431134267561</v>
      </c>
      <c r="Z22" s="40">
        <f t="shared" si="16"/>
        <v>25.314218269822163</v>
      </c>
      <c r="AA22" s="40">
        <f t="shared" si="16"/>
        <v>1.5172565318136266</v>
      </c>
      <c r="AB22" s="40">
        <f t="shared" si="16"/>
        <v>14.904820985347843</v>
      </c>
      <c r="AC22" s="40">
        <f t="shared" si="16"/>
        <v>43.996121406353609</v>
      </c>
      <c r="AD22" s="253">
        <f t="shared" si="16"/>
        <v>-9.3803626340630331</v>
      </c>
      <c r="AE22" s="253">
        <f t="shared" si="16"/>
        <v>25.547175219901664</v>
      </c>
      <c r="AF22" s="253">
        <f t="shared" si="16"/>
        <v>10.431491363334654</v>
      </c>
      <c r="AG22" s="253">
        <f t="shared" si="16"/>
        <v>-1.7612921650854485</v>
      </c>
      <c r="AH22" s="253">
        <f t="shared" si="16"/>
        <v>14.554967036536247</v>
      </c>
      <c r="AI22" s="253">
        <f t="shared" si="16"/>
        <v>14.901106870410397</v>
      </c>
      <c r="AJ22" s="253">
        <f t="shared" si="16"/>
        <v>15.680429573239273</v>
      </c>
      <c r="AK22" s="253">
        <f t="shared" si="16"/>
        <v>12.417241902714359</v>
      </c>
      <c r="AL22" s="253">
        <f t="shared" si="16"/>
        <v>4.5737532818421078</v>
      </c>
      <c r="AN22" s="37">
        <f t="shared" si="17"/>
        <v>72.609943258452404</v>
      </c>
      <c r="AO22" s="37">
        <f t="shared" si="17"/>
        <v>72.474115718543302</v>
      </c>
      <c r="AP22" s="37">
        <f t="shared" si="17"/>
        <v>73.467011294308421</v>
      </c>
      <c r="AQ22" s="37">
        <f t="shared" si="17"/>
        <v>74.331728393390591</v>
      </c>
      <c r="AR22" s="37">
        <f t="shared" si="17"/>
        <v>66.706765220001614</v>
      </c>
      <c r="AS22" s="37">
        <f t="shared" si="17"/>
        <v>77.194934367001579</v>
      </c>
      <c r="AT22" s="37">
        <f t="shared" si="17"/>
        <v>71.022884647058845</v>
      </c>
      <c r="AU22" s="37">
        <f t="shared" si="17"/>
        <v>71.327237404202791</v>
      </c>
      <c r="AV22" s="37">
        <f t="shared" si="17"/>
        <v>75.582864763287716</v>
      </c>
      <c r="AW22" s="37">
        <f t="shared" si="17"/>
        <v>73.255190802333487</v>
      </c>
      <c r="AX22" s="37">
        <f t="shared" si="17"/>
        <v>73.781454084256367</v>
      </c>
      <c r="AY22" s="37">
        <f t="shared" si="17"/>
        <v>72.781425516050575</v>
      </c>
      <c r="AZ22" s="37">
        <f t="shared" si="17"/>
        <v>73.47681901381101</v>
      </c>
      <c r="BA22" s="79"/>
      <c r="BB22" s="253">
        <f t="shared" si="2"/>
        <v>18.097104167783542</v>
      </c>
      <c r="BC22" s="306">
        <f t="shared" si="2"/>
        <v>-16.959387687733386</v>
      </c>
      <c r="BD22" s="253">
        <f t="shared" si="2"/>
        <v>22.672270075282363</v>
      </c>
      <c r="BE22" s="253">
        <f t="shared" si="2"/>
        <v>-100</v>
      </c>
      <c r="BF22" s="253" t="e">
        <f t="shared" si="2"/>
        <v>#VALUE!</v>
      </c>
      <c r="BH22" s="262">
        <f t="shared" si="3"/>
        <v>0</v>
      </c>
    </row>
    <row r="23" spans="1:64" ht="11.7" customHeight="1">
      <c r="A23" s="82" t="s">
        <v>25</v>
      </c>
      <c r="B23" s="34">
        <v>72598.3</v>
      </c>
      <c r="C23" s="34">
        <v>86699.7</v>
      </c>
      <c r="D23" s="34">
        <v>100621.6</v>
      </c>
      <c r="E23" s="34">
        <v>121464.6</v>
      </c>
      <c r="F23" s="34">
        <v>118777.8</v>
      </c>
      <c r="G23" s="34">
        <v>193096.67</v>
      </c>
      <c r="H23" s="34">
        <v>178678.77</v>
      </c>
      <c r="I23" s="34">
        <v>222871.95</v>
      </c>
      <c r="J23" s="34">
        <v>264980.37</v>
      </c>
      <c r="K23" s="34">
        <v>239400.37</v>
      </c>
      <c r="L23" s="34">
        <v>272050.13</v>
      </c>
      <c r="M23" s="34">
        <v>297734.21999999997</v>
      </c>
      <c r="N23" s="34">
        <v>363141.64</v>
      </c>
      <c r="O23" s="34">
        <v>391284.91</v>
      </c>
      <c r="P23" s="34">
        <v>426015.08</v>
      </c>
      <c r="Q23" s="34">
        <v>504434.19</v>
      </c>
      <c r="R23" s="105">
        <v>516483.58</v>
      </c>
      <c r="S23" s="34">
        <v>495292.05896400003</v>
      </c>
      <c r="T23" s="34">
        <v>522379.16</v>
      </c>
      <c r="U23" s="34"/>
      <c r="V23" s="34" t="s">
        <v>9</v>
      </c>
      <c r="W23" s="35"/>
      <c r="X23" s="36">
        <f t="shared" si="16"/>
        <v>19.423870806892161</v>
      </c>
      <c r="Y23" s="36">
        <f t="shared" si="16"/>
        <v>16.057610349286101</v>
      </c>
      <c r="Z23" s="36">
        <f t="shared" si="16"/>
        <v>20.71424028240456</v>
      </c>
      <c r="AA23" s="36">
        <f t="shared" si="16"/>
        <v>-2.2120025093731011</v>
      </c>
      <c r="AB23" s="36">
        <f t="shared" si="16"/>
        <v>62.56966369136321</v>
      </c>
      <c r="AC23" s="36">
        <f t="shared" si="16"/>
        <v>-7.4666745936116001</v>
      </c>
      <c r="AD23" s="37">
        <f t="shared" si="16"/>
        <v>24.73331330857047</v>
      </c>
      <c r="AE23" s="37">
        <f t="shared" si="16"/>
        <v>18.893548515189984</v>
      </c>
      <c r="AF23" s="37">
        <f t="shared" si="16"/>
        <v>-9.6535452795993955</v>
      </c>
      <c r="AG23" s="37">
        <f t="shared" si="16"/>
        <v>13.638140993683523</v>
      </c>
      <c r="AH23" s="37">
        <f t="shared" si="16"/>
        <v>9.4409401679021343</v>
      </c>
      <c r="AI23" s="37">
        <f t="shared" si="16"/>
        <v>21.968391809312358</v>
      </c>
      <c r="AJ23" s="73">
        <f t="shared" si="16"/>
        <v>7.7499429699111166</v>
      </c>
      <c r="AK23" s="37">
        <f t="shared" si="16"/>
        <v>8.8759287957207675</v>
      </c>
      <c r="AL23" s="37">
        <f t="shared" si="16"/>
        <v>18.407590172629561</v>
      </c>
      <c r="AN23" s="37">
        <f t="shared" si="17"/>
        <v>9.2149161843610319</v>
      </c>
      <c r="AO23" s="37">
        <f t="shared" si="17"/>
        <v>8.8450649155205117</v>
      </c>
      <c r="AP23" s="37">
        <f t="shared" si="17"/>
        <v>8.6371135356277406</v>
      </c>
      <c r="AQ23" s="37">
        <f t="shared" si="17"/>
        <v>8.4177527868996975</v>
      </c>
      <c r="AR23" s="37">
        <f t="shared" si="17"/>
        <v>10.687917032791333</v>
      </c>
      <c r="AS23" s="37">
        <f t="shared" si="17"/>
        <v>7.9480276725468162</v>
      </c>
      <c r="AT23" s="37">
        <f t="shared" si="17"/>
        <v>10.065353092450728</v>
      </c>
      <c r="AU23" s="37">
        <f t="shared" si="17"/>
        <v>9.5727662470846013</v>
      </c>
      <c r="AV23" s="37">
        <f t="shared" si="17"/>
        <v>8.2989581991377293</v>
      </c>
      <c r="AW23" s="37">
        <f t="shared" si="17"/>
        <v>9.3042230115818754</v>
      </c>
      <c r="AX23" s="37">
        <f t="shared" si="17"/>
        <v>8.9527160043883658</v>
      </c>
      <c r="AY23" s="37">
        <f t="shared" si="17"/>
        <v>9.3745675069627996</v>
      </c>
      <c r="AZ23" s="37">
        <f t="shared" si="17"/>
        <v>8.8153221100199985</v>
      </c>
      <c r="BA23" s="79"/>
      <c r="BB23" s="37">
        <f t="shared" si="2"/>
        <v>2.3886941525514072</v>
      </c>
      <c r="BC23" s="73">
        <f t="shared" si="2"/>
        <v>-4.1030386747241803</v>
      </c>
      <c r="BD23" s="37">
        <f t="shared" si="2"/>
        <v>5.4689148646271279</v>
      </c>
      <c r="BE23" s="37">
        <f t="shared" si="2"/>
        <v>-100</v>
      </c>
      <c r="BF23" s="37" t="s">
        <v>9</v>
      </c>
      <c r="BH23" s="262">
        <f t="shared" si="3"/>
        <v>0</v>
      </c>
    </row>
    <row r="24" spans="1:64" ht="11.7" hidden="1" customHeight="1">
      <c r="A24" s="305" t="s">
        <v>26</v>
      </c>
      <c r="B24" s="252">
        <f t="shared" ref="B24:T24" si="20">+B15+B21+B23</f>
        <v>681098.60000000009</v>
      </c>
      <c r="C24" s="252">
        <f t="shared" si="20"/>
        <v>769859.5</v>
      </c>
      <c r="D24" s="252">
        <f t="shared" si="20"/>
        <v>925088.29999999993</v>
      </c>
      <c r="E24" s="252">
        <f t="shared" si="20"/>
        <v>1154638.6000000001</v>
      </c>
      <c r="F24" s="252">
        <f t="shared" si="20"/>
        <v>1167627.7000000002</v>
      </c>
      <c r="G24" s="252">
        <f t="shared" si="20"/>
        <v>1398275.77</v>
      </c>
      <c r="H24" s="252">
        <f t="shared" si="20"/>
        <v>1914089.9300000002</v>
      </c>
      <c r="I24" s="252">
        <f t="shared" si="20"/>
        <v>1795495.2499999998</v>
      </c>
      <c r="J24" s="252">
        <f t="shared" si="20"/>
        <v>2239364.5</v>
      </c>
      <c r="K24" s="252">
        <f t="shared" si="20"/>
        <v>2419742.21</v>
      </c>
      <c r="L24" s="252">
        <f t="shared" si="20"/>
        <v>2413989.7799999993</v>
      </c>
      <c r="M24" s="252">
        <f t="shared" si="20"/>
        <v>2751432.4799999995</v>
      </c>
      <c r="N24" s="252">
        <f t="shared" si="20"/>
        <v>3182468.1</v>
      </c>
      <c r="O24" s="252">
        <f t="shared" si="20"/>
        <v>3652693.87</v>
      </c>
      <c r="P24" s="252">
        <f t="shared" si="20"/>
        <v>4092401.08</v>
      </c>
      <c r="Q24" s="252">
        <f t="shared" si="20"/>
        <v>4338511.6400000006</v>
      </c>
      <c r="R24" s="252">
        <f t="shared" si="20"/>
        <v>5044418.0200000005</v>
      </c>
      <c r="S24" s="252">
        <f t="shared" si="20"/>
        <v>4255316.5430379994</v>
      </c>
      <c r="T24" s="252">
        <f t="shared" si="20"/>
        <v>5134886.55</v>
      </c>
      <c r="U24" s="252"/>
      <c r="V24" s="252" t="s">
        <v>9</v>
      </c>
      <c r="W24" s="39"/>
      <c r="X24" s="40">
        <f t="shared" si="16"/>
        <v>13.032019152586694</v>
      </c>
      <c r="Y24" s="40">
        <f t="shared" si="16"/>
        <v>20.163263556532062</v>
      </c>
      <c r="Z24" s="40">
        <f t="shared" si="16"/>
        <v>24.813879929083548</v>
      </c>
      <c r="AA24" s="40">
        <f t="shared" si="16"/>
        <v>1.1249493997515847</v>
      </c>
      <c r="AB24" s="40">
        <f t="shared" si="16"/>
        <v>19.753562715238758</v>
      </c>
      <c r="AC24" s="40">
        <f t="shared" si="16"/>
        <v>36.889301171256086</v>
      </c>
      <c r="AD24" s="253">
        <f t="shared" si="16"/>
        <v>-6.1958781633630107</v>
      </c>
      <c r="AE24" s="253">
        <f t="shared" si="16"/>
        <v>24.721271192446782</v>
      </c>
      <c r="AF24" s="253">
        <f t="shared" si="16"/>
        <v>8.0548615466575324</v>
      </c>
      <c r="AG24" s="253">
        <f t="shared" si="16"/>
        <v>-0.23772904304548703</v>
      </c>
      <c r="AH24" s="253">
        <f t="shared" si="16"/>
        <v>13.978630017232319</v>
      </c>
      <c r="AI24" s="253">
        <f t="shared" si="16"/>
        <v>15.665862169367163</v>
      </c>
      <c r="AJ24" s="253">
        <f t="shared" si="16"/>
        <v>14.775506155112762</v>
      </c>
      <c r="AK24" s="253">
        <f t="shared" si="16"/>
        <v>12.037888354437975</v>
      </c>
      <c r="AL24" s="253">
        <f t="shared" si="16"/>
        <v>6.0138426119269894</v>
      </c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79"/>
      <c r="BB24" s="253">
        <f t="shared" si="2"/>
        <v>16.270703839808064</v>
      </c>
      <c r="BC24" s="306">
        <f t="shared" si="2"/>
        <v>-15.643062764294879</v>
      </c>
      <c r="BD24" s="253">
        <f t="shared" si="2"/>
        <v>20.669907821570632</v>
      </c>
      <c r="BE24" s="253">
        <f t="shared" si="2"/>
        <v>-100</v>
      </c>
      <c r="BF24" s="253" t="s">
        <v>9</v>
      </c>
      <c r="BH24" s="262">
        <f t="shared" si="3"/>
        <v>0</v>
      </c>
    </row>
    <row r="25" spans="1:64" ht="11.7" customHeight="1">
      <c r="A25" s="82" t="s">
        <v>27</v>
      </c>
      <c r="B25" s="34">
        <v>67816.3</v>
      </c>
      <c r="C25" s="34">
        <v>86227.4</v>
      </c>
      <c r="D25" s="34">
        <v>106864.9</v>
      </c>
      <c r="E25" s="34">
        <v>130323.1</v>
      </c>
      <c r="F25" s="34">
        <v>124156.5</v>
      </c>
      <c r="G25" s="34">
        <v>190808.13</v>
      </c>
      <c r="H25" s="34">
        <v>166454.87</v>
      </c>
      <c r="I25" s="34">
        <v>212844.02</v>
      </c>
      <c r="J25" s="34">
        <v>269181.89</v>
      </c>
      <c r="K25" s="34">
        <v>242344</v>
      </c>
      <c r="L25" s="34">
        <v>270214.45</v>
      </c>
      <c r="M25" s="34">
        <v>286539</v>
      </c>
      <c r="N25" s="34">
        <v>353957.86</v>
      </c>
      <c r="O25" s="34">
        <v>400238.93</v>
      </c>
      <c r="P25" s="34">
        <v>439300.81</v>
      </c>
      <c r="Q25" s="34">
        <v>506726.04</v>
      </c>
      <c r="R25" s="105">
        <v>402652.9</v>
      </c>
      <c r="S25" s="34">
        <v>457332.62815399998</v>
      </c>
      <c r="T25" s="34">
        <v>524796.6</v>
      </c>
      <c r="U25" s="34"/>
      <c r="V25" s="34" t="s">
        <v>9</v>
      </c>
      <c r="W25" s="35"/>
      <c r="X25" s="36">
        <f>((C25/B25)-1)*100</f>
        <v>27.14848790040152</v>
      </c>
      <c r="Y25" s="36">
        <f t="shared" si="16"/>
        <v>23.933807583204402</v>
      </c>
      <c r="Z25" s="36">
        <f t="shared" si="16"/>
        <v>21.951267441414359</v>
      </c>
      <c r="AA25" s="36">
        <f t="shared" si="16"/>
        <v>-4.731778172864221</v>
      </c>
      <c r="AB25" s="36">
        <f t="shared" si="16"/>
        <v>53.68356066738351</v>
      </c>
      <c r="AC25" s="36">
        <f t="shared" si="16"/>
        <v>-12.763219261149938</v>
      </c>
      <c r="AD25" s="37">
        <f t="shared" si="16"/>
        <v>27.868905247410304</v>
      </c>
      <c r="AE25" s="37">
        <f t="shared" si="16"/>
        <v>26.469087550592228</v>
      </c>
      <c r="AF25" s="37">
        <f t="shared" si="16"/>
        <v>-9.9701692413260101</v>
      </c>
      <c r="AG25" s="37">
        <f t="shared" si="16"/>
        <v>11.500367246558607</v>
      </c>
      <c r="AH25" s="37">
        <f t="shared" si="16"/>
        <v>6.0413312463489577</v>
      </c>
      <c r="AI25" s="37">
        <f t="shared" si="16"/>
        <v>23.528685449450148</v>
      </c>
      <c r="AJ25" s="73">
        <f t="shared" si="16"/>
        <v>13.07530506597594</v>
      </c>
      <c r="AK25" s="37">
        <f t="shared" si="16"/>
        <v>9.7596403228441542</v>
      </c>
      <c r="AL25" s="37">
        <f t="shared" si="16"/>
        <v>15.348305412867314</v>
      </c>
      <c r="AN25" s="37">
        <f t="shared" ref="AN25:AZ25" si="21">+(C25/C$30)*100</f>
        <v>9.1647175687502074</v>
      </c>
      <c r="AO25" s="37">
        <f t="shared" si="21"/>
        <v>9.3938774347715395</v>
      </c>
      <c r="AP25" s="37">
        <f t="shared" si="21"/>
        <v>9.2670243924152995</v>
      </c>
      <c r="AQ25" s="37">
        <f t="shared" si="21"/>
        <v>8.7989399019573717</v>
      </c>
      <c r="AR25" s="37">
        <f t="shared" si="21"/>
        <v>10.561246150034917</v>
      </c>
      <c r="AS25" s="37">
        <f t="shared" si="21"/>
        <v>7.4042815102778174</v>
      </c>
      <c r="AT25" s="37">
        <f t="shared" si="21"/>
        <v>9.6124712639551291</v>
      </c>
      <c r="AU25" s="37">
        <f t="shared" si="21"/>
        <v>9.7245517127115484</v>
      </c>
      <c r="AV25" s="37">
        <f t="shared" si="21"/>
        <v>8.4010009082769326</v>
      </c>
      <c r="AW25" s="37">
        <f t="shared" si="21"/>
        <v>9.2414420230269325</v>
      </c>
      <c r="AX25" s="37">
        <f t="shared" si="21"/>
        <v>8.6160814540614048</v>
      </c>
      <c r="AY25" s="37">
        <f t="shared" si="21"/>
        <v>9.1374865553564373</v>
      </c>
      <c r="AZ25" s="37">
        <f t="shared" si="21"/>
        <v>9.0170486996795933</v>
      </c>
      <c r="BA25" s="79"/>
      <c r="BB25" s="37">
        <f t="shared" si="2"/>
        <v>-20.538344546098308</v>
      </c>
      <c r="BC25" s="73">
        <f t="shared" si="2"/>
        <v>13.579866965815945</v>
      </c>
      <c r="BD25" s="37">
        <f t="shared" si="2"/>
        <v>14.751620088493333</v>
      </c>
      <c r="BE25" s="140">
        <f t="shared" si="2"/>
        <v>-100</v>
      </c>
      <c r="BF25" s="140" t="s">
        <v>9</v>
      </c>
      <c r="BH25" s="262">
        <f t="shared" si="3"/>
        <v>0</v>
      </c>
    </row>
    <row r="26" spans="1:64" ht="11.7" hidden="1" customHeight="1">
      <c r="A26" s="305" t="s">
        <v>28</v>
      </c>
      <c r="B26" s="252">
        <f t="shared" ref="B26:T26" si="22">+B15+B21+B23+B25</f>
        <v>748914.90000000014</v>
      </c>
      <c r="C26" s="252">
        <f t="shared" si="22"/>
        <v>856086.9</v>
      </c>
      <c r="D26" s="252">
        <f t="shared" si="22"/>
        <v>1031953.2</v>
      </c>
      <c r="E26" s="252">
        <f t="shared" si="22"/>
        <v>1284961.7000000002</v>
      </c>
      <c r="F26" s="252">
        <f t="shared" si="22"/>
        <v>1291784.2000000002</v>
      </c>
      <c r="G26" s="252">
        <f t="shared" si="22"/>
        <v>1589083.9</v>
      </c>
      <c r="H26" s="252">
        <f t="shared" si="22"/>
        <v>2080544.8000000003</v>
      </c>
      <c r="I26" s="252">
        <f t="shared" si="22"/>
        <v>2008339.2699999998</v>
      </c>
      <c r="J26" s="252">
        <f t="shared" si="22"/>
        <v>2508546.39</v>
      </c>
      <c r="K26" s="252">
        <f t="shared" si="22"/>
        <v>2662086.21</v>
      </c>
      <c r="L26" s="252">
        <f t="shared" si="22"/>
        <v>2684204.2299999995</v>
      </c>
      <c r="M26" s="252">
        <f t="shared" si="22"/>
        <v>3037971.4799999995</v>
      </c>
      <c r="N26" s="252">
        <f t="shared" si="22"/>
        <v>3536425.96</v>
      </c>
      <c r="O26" s="252">
        <f t="shared" si="22"/>
        <v>4052932.8000000003</v>
      </c>
      <c r="P26" s="252">
        <f t="shared" si="22"/>
        <v>4531701.8899999997</v>
      </c>
      <c r="Q26" s="252">
        <f t="shared" si="22"/>
        <v>4845237.6800000006</v>
      </c>
      <c r="R26" s="252">
        <f t="shared" si="22"/>
        <v>5447070.9200000009</v>
      </c>
      <c r="S26" s="252">
        <f t="shared" si="22"/>
        <v>4712649.1711919997</v>
      </c>
      <c r="T26" s="252">
        <f t="shared" si="22"/>
        <v>5659683.1499999994</v>
      </c>
      <c r="U26" s="252"/>
      <c r="V26" s="252" t="s">
        <v>9</v>
      </c>
      <c r="W26" s="39"/>
      <c r="X26" s="40">
        <f>((C26/B26)-1)*100</f>
        <v>14.310304148041375</v>
      </c>
      <c r="Y26" s="40">
        <f t="shared" si="16"/>
        <v>20.543043001826099</v>
      </c>
      <c r="Z26" s="40">
        <f t="shared" si="16"/>
        <v>24.517439356746038</v>
      </c>
      <c r="AA26" s="40">
        <f t="shared" si="16"/>
        <v>0.53094967733280374</v>
      </c>
      <c r="AB26" s="40">
        <f t="shared" si="16"/>
        <v>23.014656782456356</v>
      </c>
      <c r="AC26" s="40">
        <f t="shared" si="16"/>
        <v>30.927309753751864</v>
      </c>
      <c r="AD26" s="253">
        <f t="shared" si="16"/>
        <v>-3.4705107046962169</v>
      </c>
      <c r="AE26" s="253">
        <f t="shared" si="16"/>
        <v>24.906504965169574</v>
      </c>
      <c r="AF26" s="253">
        <f t="shared" si="16"/>
        <v>6.1206689504354594</v>
      </c>
      <c r="AG26" s="253">
        <f t="shared" si="16"/>
        <v>0.83085288210855701</v>
      </c>
      <c r="AH26" s="253">
        <f t="shared" si="16"/>
        <v>13.179595130881673</v>
      </c>
      <c r="AI26" s="253">
        <f t="shared" si="16"/>
        <v>16.407477268351457</v>
      </c>
      <c r="AJ26" s="253">
        <f t="shared" si="16"/>
        <v>14.605334477298104</v>
      </c>
      <c r="AK26" s="253">
        <f t="shared" si="16"/>
        <v>11.812904719268946</v>
      </c>
      <c r="AL26" s="253">
        <f t="shared" si="16"/>
        <v>6.9187205515851113</v>
      </c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79"/>
      <c r="BB26" s="253">
        <f t="shared" si="2"/>
        <v>12.421129359334127</v>
      </c>
      <c r="BC26" s="306">
        <f t="shared" si="2"/>
        <v>-13.482874733857898</v>
      </c>
      <c r="BD26" s="253">
        <f t="shared" si="2"/>
        <v>20.095575639220776</v>
      </c>
      <c r="BE26" s="253">
        <f t="shared" si="2"/>
        <v>-100</v>
      </c>
      <c r="BF26" s="253" t="s">
        <v>9</v>
      </c>
      <c r="BH26" s="262">
        <f t="shared" si="3"/>
        <v>0</v>
      </c>
    </row>
    <row r="27" spans="1:64" ht="11.7" customHeight="1">
      <c r="A27" s="82" t="s">
        <v>29</v>
      </c>
      <c r="B27" s="34">
        <v>75728.5</v>
      </c>
      <c r="C27" s="34">
        <v>84775.7</v>
      </c>
      <c r="D27" s="34">
        <v>105648.4</v>
      </c>
      <c r="E27" s="34">
        <v>121348.4</v>
      </c>
      <c r="F27" s="34">
        <v>119255.1</v>
      </c>
      <c r="G27" s="34">
        <v>217598.07</v>
      </c>
      <c r="H27" s="34">
        <v>167544.63</v>
      </c>
      <c r="I27" s="34">
        <v>205909.43</v>
      </c>
      <c r="J27" s="34">
        <v>259518.38</v>
      </c>
      <c r="K27" s="34">
        <v>222617.68</v>
      </c>
      <c r="L27" s="34">
        <v>239738.26</v>
      </c>
      <c r="M27" s="34">
        <v>287658.64</v>
      </c>
      <c r="N27" s="34">
        <v>337263.57</v>
      </c>
      <c r="O27" s="34">
        <v>385758.21</v>
      </c>
      <c r="P27" s="34">
        <v>405670.35</v>
      </c>
      <c r="Q27" s="34">
        <v>456881.55</v>
      </c>
      <c r="R27" s="105">
        <v>404300.23</v>
      </c>
      <c r="S27" s="34">
        <v>481947.56090300001</v>
      </c>
      <c r="T27" s="34">
        <v>516618.92</v>
      </c>
      <c r="U27" s="34"/>
      <c r="V27" s="34" t="s">
        <v>9</v>
      </c>
      <c r="W27" s="35"/>
      <c r="X27" s="36">
        <f t="shared" ref="X27:AB30" si="23">((C27/B27)-1)*100</f>
        <v>11.946889216081136</v>
      </c>
      <c r="Y27" s="36">
        <f t="shared" si="23"/>
        <v>24.621088354327945</v>
      </c>
      <c r="Z27" s="36">
        <f t="shared" si="23"/>
        <v>14.860613128073874</v>
      </c>
      <c r="AA27" s="36">
        <f t="shared" si="23"/>
        <v>-1.7250330453471019</v>
      </c>
      <c r="AB27" s="36">
        <f t="shared" si="23"/>
        <v>82.464372592870248</v>
      </c>
      <c r="AC27" s="36">
        <f t="shared" si="16"/>
        <v>-23.00270402214505</v>
      </c>
      <c r="AD27" s="37">
        <f t="shared" si="16"/>
        <v>22.898257019637079</v>
      </c>
      <c r="AE27" s="37">
        <f t="shared" si="16"/>
        <v>26.035208780870313</v>
      </c>
      <c r="AF27" s="37">
        <f>((K27/J27)-1)*100</f>
        <v>-14.218915823996747</v>
      </c>
      <c r="AG27" s="37">
        <f t="shared" si="16"/>
        <v>7.6905751600681471</v>
      </c>
      <c r="AH27" s="37">
        <f t="shared" si="16"/>
        <v>19.98862426047474</v>
      </c>
      <c r="AI27" s="37">
        <f t="shared" si="16"/>
        <v>17.244373400360935</v>
      </c>
      <c r="AJ27" s="37">
        <f t="shared" si="16"/>
        <v>14.378855089507603</v>
      </c>
      <c r="AK27" s="37">
        <f t="shared" si="16"/>
        <v>5.1618188502067008</v>
      </c>
      <c r="AL27" s="37">
        <f t="shared" si="16"/>
        <v>12.623845937964173</v>
      </c>
      <c r="AN27" s="37">
        <f t="shared" ref="AN27:AZ30" si="24">+(C27/C$30)*100</f>
        <v>9.0104229884363551</v>
      </c>
      <c r="AO27" s="37">
        <f t="shared" si="24"/>
        <v>9.2869419311646517</v>
      </c>
      <c r="AP27" s="37">
        <f t="shared" si="24"/>
        <v>8.628850777648541</v>
      </c>
      <c r="AQ27" s="37">
        <f t="shared" si="24"/>
        <v>8.4515789177523253</v>
      </c>
      <c r="AR27" s="37">
        <f t="shared" si="24"/>
        <v>12.044071597172135</v>
      </c>
      <c r="AS27" s="37">
        <f t="shared" si="24"/>
        <v>7.4527564501737809</v>
      </c>
      <c r="AT27" s="37">
        <f t="shared" si="24"/>
        <v>9.299290996535305</v>
      </c>
      <c r="AU27" s="37">
        <f t="shared" si="24"/>
        <v>9.3754446360010562</v>
      </c>
      <c r="AV27" s="37">
        <f t="shared" si="24"/>
        <v>7.7171761292976244</v>
      </c>
      <c r="AW27" s="37">
        <f t="shared" si="24"/>
        <v>8.1991441630577384</v>
      </c>
      <c r="AX27" s="37">
        <f t="shared" si="24"/>
        <v>8.6497484572938621</v>
      </c>
      <c r="AY27" s="37">
        <f t="shared" si="24"/>
        <v>8.7065204216301755</v>
      </c>
      <c r="AZ27" s="37">
        <f t="shared" si="24"/>
        <v>8.6908101764893981</v>
      </c>
      <c r="BA27" s="79"/>
      <c r="BB27" s="37">
        <f t="shared" si="2"/>
        <v>-11.508742254967396</v>
      </c>
      <c r="BC27" s="73">
        <f t="shared" si="2"/>
        <v>19.205364019456539</v>
      </c>
      <c r="BD27" s="37">
        <f t="shared" si="2"/>
        <v>7.1940106994292208</v>
      </c>
      <c r="BE27" s="37">
        <f t="shared" si="2"/>
        <v>-100</v>
      </c>
      <c r="BF27" s="37" t="s">
        <v>9</v>
      </c>
      <c r="BH27" s="262">
        <f t="shared" si="3"/>
        <v>0</v>
      </c>
    </row>
    <row r="28" spans="1:64" ht="11.7" customHeight="1">
      <c r="A28" s="84" t="s">
        <v>30</v>
      </c>
      <c r="B28" s="38">
        <f t="shared" ref="B28:T28" si="25">+B23+B25+B27</f>
        <v>216143.1</v>
      </c>
      <c r="C28" s="38">
        <f t="shared" si="25"/>
        <v>257702.8</v>
      </c>
      <c r="D28" s="38">
        <f t="shared" si="25"/>
        <v>313134.90000000002</v>
      </c>
      <c r="E28" s="38">
        <f t="shared" si="25"/>
        <v>373136.1</v>
      </c>
      <c r="F28" s="38">
        <f t="shared" si="25"/>
        <v>362189.4</v>
      </c>
      <c r="G28" s="38">
        <f t="shared" si="25"/>
        <v>601502.87000000011</v>
      </c>
      <c r="H28" s="38">
        <f t="shared" si="25"/>
        <v>512678.27</v>
      </c>
      <c r="I28" s="38">
        <f t="shared" si="25"/>
        <v>641625.39999999991</v>
      </c>
      <c r="J28" s="38">
        <f t="shared" si="25"/>
        <v>793680.64</v>
      </c>
      <c r="K28" s="38">
        <f t="shared" si="25"/>
        <v>704362.05</v>
      </c>
      <c r="L28" s="38">
        <f t="shared" si="25"/>
        <v>782002.84000000008</v>
      </c>
      <c r="M28" s="38">
        <f t="shared" si="25"/>
        <v>871931.86</v>
      </c>
      <c r="N28" s="38">
        <f t="shared" si="25"/>
        <v>1054363.07</v>
      </c>
      <c r="O28" s="38">
        <f t="shared" si="25"/>
        <v>1177282.05</v>
      </c>
      <c r="P28" s="38">
        <f t="shared" si="25"/>
        <v>1270986.24</v>
      </c>
      <c r="Q28" s="38">
        <f t="shared" si="25"/>
        <v>1468041.78</v>
      </c>
      <c r="R28" s="38">
        <f t="shared" si="25"/>
        <v>1323436.71</v>
      </c>
      <c r="S28" s="38">
        <f t="shared" si="25"/>
        <v>1434572.2480210001</v>
      </c>
      <c r="T28" s="38">
        <f t="shared" si="25"/>
        <v>1563794.68</v>
      </c>
      <c r="U28" s="38"/>
      <c r="V28" s="38" t="s">
        <v>9</v>
      </c>
      <c r="W28" s="39"/>
      <c r="X28" s="40">
        <f>((C28/B28)-1)*100</f>
        <v>19.227863392354404</v>
      </c>
      <c r="Y28" s="40">
        <f t="shared" si="23"/>
        <v>21.510088365357326</v>
      </c>
      <c r="Z28" s="40">
        <f t="shared" si="23"/>
        <v>19.161454057021409</v>
      </c>
      <c r="AA28" s="40">
        <f t="shared" si="23"/>
        <v>-2.9337016707844499</v>
      </c>
      <c r="AB28" s="40">
        <f t="shared" si="23"/>
        <v>66.074123096921127</v>
      </c>
      <c r="AC28" s="40">
        <f t="shared" si="16"/>
        <v>-14.767111585020377</v>
      </c>
      <c r="AD28" s="253">
        <f t="shared" si="16"/>
        <v>25.151666755838885</v>
      </c>
      <c r="AE28" s="253">
        <f t="shared" si="16"/>
        <v>23.698444606463532</v>
      </c>
      <c r="AF28" s="253">
        <f>((K28/J28)-1)*100</f>
        <v>-11.253719128136975</v>
      </c>
      <c r="AG28" s="253">
        <f t="shared" si="16"/>
        <v>11.02285252307389</v>
      </c>
      <c r="AH28" s="253">
        <f t="shared" si="16"/>
        <v>11.499832916207819</v>
      </c>
      <c r="AI28" s="253">
        <f t="shared" si="16"/>
        <v>20.92264526266996</v>
      </c>
      <c r="AJ28" s="253">
        <f t="shared" si="16"/>
        <v>11.65812645543436</v>
      </c>
      <c r="AK28" s="253">
        <f t="shared" si="16"/>
        <v>7.9593662368333762</v>
      </c>
      <c r="AL28" s="253">
        <f t="shared" si="16"/>
        <v>15.504144246282326</v>
      </c>
      <c r="AN28" s="37">
        <f t="shared" si="24"/>
        <v>27.390056741547593</v>
      </c>
      <c r="AO28" s="37">
        <f t="shared" si="24"/>
        <v>27.525884281456708</v>
      </c>
      <c r="AP28" s="37">
        <f t="shared" si="24"/>
        <v>26.532988705691579</v>
      </c>
      <c r="AQ28" s="37">
        <f t="shared" si="24"/>
        <v>25.668271606609395</v>
      </c>
      <c r="AR28" s="37">
        <f t="shared" si="24"/>
        <v>33.293234779998386</v>
      </c>
      <c r="AS28" s="37">
        <f t="shared" si="24"/>
        <v>22.805065632998417</v>
      </c>
      <c r="AT28" s="37">
        <f t="shared" si="24"/>
        <v>28.977115352941158</v>
      </c>
      <c r="AU28" s="37">
        <f t="shared" si="24"/>
        <v>28.672762595797209</v>
      </c>
      <c r="AV28" s="37">
        <f t="shared" si="24"/>
        <v>24.417135236712291</v>
      </c>
      <c r="AW28" s="37">
        <f t="shared" si="24"/>
        <v>26.744809197666548</v>
      </c>
      <c r="AX28" s="37">
        <f t="shared" si="24"/>
        <v>26.218545915743636</v>
      </c>
      <c r="AY28" s="37">
        <f t="shared" si="24"/>
        <v>27.218574483949414</v>
      </c>
      <c r="AZ28" s="37">
        <f t="shared" si="24"/>
        <v>26.523180986188994</v>
      </c>
      <c r="BA28" s="79"/>
      <c r="BB28" s="253">
        <f t="shared" si="2"/>
        <v>-9.8502012660702363</v>
      </c>
      <c r="BC28" s="306">
        <f t="shared" si="2"/>
        <v>8.3974954889229458</v>
      </c>
      <c r="BD28" s="253">
        <f t="shared" si="2"/>
        <v>9.0077325946645637</v>
      </c>
      <c r="BE28" s="253">
        <f t="shared" si="2"/>
        <v>-100</v>
      </c>
      <c r="BF28" s="253" t="s">
        <v>9</v>
      </c>
      <c r="BH28" s="262" t="s">
        <v>9</v>
      </c>
    </row>
    <row r="29" spans="1:64" ht="11.7" customHeight="1">
      <c r="A29" s="84" t="s">
        <v>31</v>
      </c>
      <c r="B29" s="38">
        <f t="shared" ref="B29:T29" si="26">+B28+B21</f>
        <v>430816.7</v>
      </c>
      <c r="C29" s="38">
        <f t="shared" si="26"/>
        <v>515792.4</v>
      </c>
      <c r="D29" s="38">
        <f t="shared" si="26"/>
        <v>609017.9</v>
      </c>
      <c r="E29" s="38">
        <f t="shared" si="26"/>
        <v>735464.89999999991</v>
      </c>
      <c r="F29" s="38">
        <f t="shared" si="26"/>
        <v>711858.3</v>
      </c>
      <c r="G29" s="38">
        <f t="shared" si="26"/>
        <v>1082637.07</v>
      </c>
      <c r="H29" s="38">
        <f t="shared" si="26"/>
        <v>1073740.8799999999</v>
      </c>
      <c r="I29" s="38">
        <f t="shared" si="26"/>
        <v>1214720.27</v>
      </c>
      <c r="J29" s="38">
        <f t="shared" si="26"/>
        <v>1531112.73</v>
      </c>
      <c r="K29" s="38">
        <f t="shared" si="26"/>
        <v>1452390.68</v>
      </c>
      <c r="L29" s="38">
        <f t="shared" si="26"/>
        <v>1533629.75</v>
      </c>
      <c r="M29" s="68">
        <f t="shared" si="26"/>
        <v>1704372.7000000002</v>
      </c>
      <c r="N29" s="68">
        <f t="shared" si="26"/>
        <v>2065780.75</v>
      </c>
      <c r="O29" s="68">
        <f t="shared" si="26"/>
        <v>2421041.1100000003</v>
      </c>
      <c r="P29" s="68">
        <f t="shared" si="26"/>
        <v>2592111.16</v>
      </c>
      <c r="Q29" s="68">
        <f t="shared" si="26"/>
        <v>2813398.4000000004</v>
      </c>
      <c r="R29" s="68">
        <f t="shared" si="26"/>
        <v>2988187.0500000003</v>
      </c>
      <c r="S29" s="68">
        <f t="shared" si="26"/>
        <v>2824564.7561690002</v>
      </c>
      <c r="T29" s="68">
        <f t="shared" si="26"/>
        <v>3156954.79</v>
      </c>
      <c r="U29" s="68"/>
      <c r="V29" s="68" t="s">
        <v>9</v>
      </c>
      <c r="W29" s="39"/>
      <c r="X29" s="40">
        <f>((C29/B29)-1)*100</f>
        <v>19.724328235186796</v>
      </c>
      <c r="Y29" s="40">
        <f t="shared" si="23"/>
        <v>18.074229089067618</v>
      </c>
      <c r="Z29" s="40">
        <f t="shared" si="23"/>
        <v>20.762443928166952</v>
      </c>
      <c r="AA29" s="40">
        <f t="shared" si="23"/>
        <v>-3.2097520901405163</v>
      </c>
      <c r="AB29" s="40">
        <f t="shared" si="23"/>
        <v>52.086035942827394</v>
      </c>
      <c r="AC29" s="40">
        <f>((H29/G29)-1)*100</f>
        <v>-0.82171488918258984</v>
      </c>
      <c r="AD29" s="253">
        <f t="shared" si="16"/>
        <v>13.129740389506273</v>
      </c>
      <c r="AE29" s="253">
        <f t="shared" si="16"/>
        <v>26.046528391264935</v>
      </c>
      <c r="AF29" s="253">
        <f>((K29/J29)-1)*100</f>
        <v>-5.1414927495247227</v>
      </c>
      <c r="AG29" s="253">
        <f t="shared" si="16"/>
        <v>5.5934722742781551</v>
      </c>
      <c r="AH29" s="253">
        <f t="shared" si="16"/>
        <v>11.133257554504294</v>
      </c>
      <c r="AI29" s="253">
        <f t="shared" si="16"/>
        <v>21.204754687751091</v>
      </c>
      <c r="AJ29" s="253">
        <f t="shared" si="16"/>
        <v>17.197389413179522</v>
      </c>
      <c r="AK29" s="253">
        <f t="shared" si="16"/>
        <v>7.0659704741651286</v>
      </c>
      <c r="AL29" s="253">
        <f t="shared" si="16"/>
        <v>8.5369502440628473</v>
      </c>
      <c r="AN29" s="37">
        <f t="shared" si="24"/>
        <v>54.821224693169853</v>
      </c>
      <c r="AO29" s="37">
        <f t="shared" si="24"/>
        <v>53.53525346659147</v>
      </c>
      <c r="AP29" s="37">
        <f t="shared" si="24"/>
        <v>52.297491143667372</v>
      </c>
      <c r="AQ29" s="37">
        <f t="shared" si="24"/>
        <v>50.449218529916209</v>
      </c>
      <c r="AR29" s="37">
        <f t="shared" si="24"/>
        <v>59.92405348463182</v>
      </c>
      <c r="AS29" s="37">
        <f t="shared" si="24"/>
        <v>47.762373937232553</v>
      </c>
      <c r="AT29" s="37">
        <f t="shared" si="24"/>
        <v>54.8592518085254</v>
      </c>
      <c r="AU29" s="37">
        <f t="shared" si="24"/>
        <v>55.313471945961723</v>
      </c>
      <c r="AV29" s="37">
        <f t="shared" si="24"/>
        <v>50.347998802747142</v>
      </c>
      <c r="AW29" s="37">
        <f t="shared" si="24"/>
        <v>52.450749467374116</v>
      </c>
      <c r="AX29" s="37">
        <f t="shared" si="24"/>
        <v>51.249617019946889</v>
      </c>
      <c r="AY29" s="37">
        <f t="shared" si="24"/>
        <v>53.328505911520473</v>
      </c>
      <c r="AZ29" s="37">
        <f t="shared" si="24"/>
        <v>54.544033467200059</v>
      </c>
      <c r="BA29" s="79"/>
      <c r="BB29" s="253">
        <f t="shared" si="2"/>
        <v>6.2127230185387239</v>
      </c>
      <c r="BC29" s="306">
        <f t="shared" si="2"/>
        <v>-5.4756376054504337</v>
      </c>
      <c r="BD29" s="253">
        <f t="shared" si="2"/>
        <v>11.767831950216134</v>
      </c>
      <c r="BE29" s="253">
        <f t="shared" si="2"/>
        <v>-100</v>
      </c>
      <c r="BF29" s="253" t="s">
        <v>9</v>
      </c>
      <c r="BH29" s="262" t="s">
        <v>9</v>
      </c>
    </row>
    <row r="30" spans="1:64" ht="11.7" customHeight="1">
      <c r="A30" s="85" t="s">
        <v>32</v>
      </c>
      <c r="B30" s="64">
        <f t="shared" ref="B30:T30" si="27">+B15+B21+B28</f>
        <v>824643.4</v>
      </c>
      <c r="C30" s="64">
        <f t="shared" si="27"/>
        <v>940862.60000000009</v>
      </c>
      <c r="D30" s="64">
        <f t="shared" si="27"/>
        <v>1137601.6000000001</v>
      </c>
      <c r="E30" s="64">
        <f t="shared" si="27"/>
        <v>1406310.1</v>
      </c>
      <c r="F30" s="64">
        <f t="shared" si="27"/>
        <v>1411039.3000000003</v>
      </c>
      <c r="G30" s="64">
        <f t="shared" si="27"/>
        <v>1806681.9700000002</v>
      </c>
      <c r="H30" s="64">
        <f t="shared" si="27"/>
        <v>2248089.4300000002</v>
      </c>
      <c r="I30" s="64">
        <f t="shared" si="27"/>
        <v>2214248.6999999997</v>
      </c>
      <c r="J30" s="64">
        <f t="shared" si="27"/>
        <v>2768064.77</v>
      </c>
      <c r="K30" s="64">
        <f t="shared" si="27"/>
        <v>2884703.8899999997</v>
      </c>
      <c r="L30" s="64">
        <f t="shared" si="27"/>
        <v>2923942.4899999993</v>
      </c>
      <c r="M30" s="64">
        <f t="shared" si="27"/>
        <v>3325630.1199999996</v>
      </c>
      <c r="N30" s="64">
        <f t="shared" si="27"/>
        <v>3873689.5300000003</v>
      </c>
      <c r="O30" s="64">
        <f t="shared" si="27"/>
        <v>4438691.01</v>
      </c>
      <c r="P30" s="64">
        <f t="shared" si="27"/>
        <v>4937372.24</v>
      </c>
      <c r="Q30" s="64">
        <f t="shared" si="27"/>
        <v>5302119.2300000004</v>
      </c>
      <c r="R30" s="64">
        <f t="shared" si="27"/>
        <v>5851371.1500000004</v>
      </c>
      <c r="S30" s="64">
        <f t="shared" si="27"/>
        <v>5194596.7320949994</v>
      </c>
      <c r="T30" s="64">
        <f t="shared" si="27"/>
        <v>6176302.0699999994</v>
      </c>
      <c r="U30" s="64">
        <f>U4+U5+U7+U9+U11+U13+U16+U18</f>
        <v>4618961.3600000003</v>
      </c>
      <c r="V30" s="64">
        <f>V4+V5+V7+V9+V11+V13+V16+V18</f>
        <v>4698200.25</v>
      </c>
      <c r="W30" s="39"/>
      <c r="X30" s="65">
        <f t="shared" si="23"/>
        <v>14.093267465670634</v>
      </c>
      <c r="Y30" s="65">
        <f t="shared" si="23"/>
        <v>20.910492137746783</v>
      </c>
      <c r="Z30" s="65">
        <f t="shared" si="23"/>
        <v>23.620615512495768</v>
      </c>
      <c r="AA30" s="65">
        <f t="shared" si="23"/>
        <v>0.33628429462322362</v>
      </c>
      <c r="AB30" s="65">
        <f t="shared" si="23"/>
        <v>28.039096430552981</v>
      </c>
      <c r="AC30" s="65">
        <f t="shared" si="16"/>
        <v>24.431940282218001</v>
      </c>
      <c r="AD30" s="254">
        <f t="shared" si="16"/>
        <v>-1.5053106672896166</v>
      </c>
      <c r="AE30" s="254">
        <f t="shared" si="16"/>
        <v>25.011466417480577</v>
      </c>
      <c r="AF30" s="254">
        <f>((K30/J30)-1)*100</f>
        <v>4.2137424407160617</v>
      </c>
      <c r="AG30" s="254">
        <f t="shared" si="16"/>
        <v>1.3602297322793611</v>
      </c>
      <c r="AH30" s="254">
        <f t="shared" si="16"/>
        <v>13.737877245321627</v>
      </c>
      <c r="AI30" s="254">
        <f t="shared" si="16"/>
        <v>16.479866678619114</v>
      </c>
      <c r="AJ30" s="254">
        <f t="shared" si="16"/>
        <v>14.585616003149315</v>
      </c>
      <c r="AK30" s="254">
        <f t="shared" si="16"/>
        <v>11.23487147171347</v>
      </c>
      <c r="AL30" s="254">
        <f t="shared" si="16"/>
        <v>7.3874719642365916</v>
      </c>
      <c r="AN30" s="69">
        <f t="shared" si="24"/>
        <v>100</v>
      </c>
      <c r="AO30" s="69">
        <f t="shared" si="24"/>
        <v>100</v>
      </c>
      <c r="AP30" s="69">
        <f t="shared" si="24"/>
        <v>100</v>
      </c>
      <c r="AQ30" s="69">
        <f t="shared" si="24"/>
        <v>100</v>
      </c>
      <c r="AR30" s="69">
        <f t="shared" si="24"/>
        <v>100</v>
      </c>
      <c r="AS30" s="69">
        <f t="shared" si="24"/>
        <v>100</v>
      </c>
      <c r="AT30" s="69">
        <f t="shared" si="24"/>
        <v>100</v>
      </c>
      <c r="AU30" s="69">
        <f t="shared" si="24"/>
        <v>100</v>
      </c>
      <c r="AV30" s="69">
        <f t="shared" si="24"/>
        <v>100</v>
      </c>
      <c r="AW30" s="69">
        <f t="shared" si="24"/>
        <v>100</v>
      </c>
      <c r="AX30" s="69">
        <f t="shared" si="24"/>
        <v>100</v>
      </c>
      <c r="AY30" s="69">
        <f t="shared" si="24"/>
        <v>100</v>
      </c>
      <c r="AZ30" s="69">
        <f t="shared" si="24"/>
        <v>100</v>
      </c>
      <c r="BA30" s="80"/>
      <c r="BB30" s="254">
        <f t="shared" si="2"/>
        <v>10.3591016379313</v>
      </c>
      <c r="BC30" s="308">
        <f t="shared" si="2"/>
        <v>-11.224282327484914</v>
      </c>
      <c r="BD30" s="254">
        <f t="shared" si="2"/>
        <v>18.898586137389618</v>
      </c>
      <c r="BE30" s="254">
        <f t="shared" si="2"/>
        <v>-25.214775643251521</v>
      </c>
      <c r="BF30" s="254">
        <f t="shared" si="2"/>
        <v>1.715513160300608</v>
      </c>
      <c r="BH30" s="262">
        <f>+U30</f>
        <v>4618961.3600000003</v>
      </c>
    </row>
    <row r="31" spans="1:64" ht="12.45" customHeight="1">
      <c r="A31" s="384" t="s">
        <v>33</v>
      </c>
      <c r="B31" s="384"/>
      <c r="C31" s="384"/>
      <c r="D31" s="384"/>
      <c r="E31" s="384"/>
      <c r="F31" s="384"/>
      <c r="G31" s="384"/>
      <c r="H31" s="384"/>
      <c r="I31" s="384"/>
      <c r="J31" s="384"/>
      <c r="K31" s="384"/>
      <c r="L31" s="384"/>
      <c r="M31" s="384"/>
      <c r="N31" s="384"/>
      <c r="O31" s="384"/>
      <c r="P31" s="384"/>
      <c r="Q31" s="384"/>
      <c r="R31" s="384"/>
      <c r="S31" s="384"/>
      <c r="T31" s="384"/>
      <c r="U31" s="384"/>
      <c r="V31" s="384"/>
      <c r="W31" s="14"/>
      <c r="X31" s="15"/>
      <c r="Y31" s="15"/>
      <c r="Z31" s="14"/>
      <c r="AA31" s="22" t="s">
        <v>1</v>
      </c>
      <c r="AB31" s="22" t="s">
        <v>1</v>
      </c>
      <c r="AC31" s="13"/>
      <c r="AD31" s="22" t="s">
        <v>1</v>
      </c>
      <c r="AE31" s="2"/>
      <c r="AF31" s="384" t="s">
        <v>1</v>
      </c>
      <c r="AG31" s="384"/>
      <c r="AH31" s="384"/>
      <c r="AI31" s="384"/>
      <c r="AJ31" s="384"/>
      <c r="AK31" s="384"/>
      <c r="AL31" s="384"/>
      <c r="AM31" s="384"/>
      <c r="AN31" s="384"/>
      <c r="AO31" s="384"/>
      <c r="AP31" s="384"/>
      <c r="AQ31" s="384"/>
      <c r="AR31" s="384"/>
      <c r="AS31" s="384"/>
      <c r="AT31" s="384"/>
      <c r="AU31" s="384"/>
      <c r="AV31" s="384"/>
      <c r="AW31" s="384"/>
      <c r="AX31" s="384"/>
      <c r="AY31" s="384"/>
      <c r="AZ31" s="384"/>
      <c r="BA31" s="384"/>
      <c r="BB31" s="384"/>
      <c r="BC31" s="384"/>
      <c r="BD31" s="384"/>
      <c r="BE31" s="384"/>
      <c r="BF31" s="384"/>
    </row>
    <row r="32" spans="1:64" ht="11.7" customHeight="1">
      <c r="B32" s="1"/>
      <c r="E32" s="3"/>
      <c r="G32" s="4"/>
      <c r="H32" s="4"/>
      <c r="I32" s="4"/>
      <c r="J32" s="4"/>
      <c r="K32" s="17"/>
      <c r="L32" s="17"/>
      <c r="M32" s="17"/>
      <c r="N32" s="17"/>
      <c r="O32" s="17"/>
      <c r="P32" s="17"/>
      <c r="S32" s="17"/>
      <c r="U32" s="17"/>
      <c r="V32" s="17" t="s">
        <v>2</v>
      </c>
      <c r="W32" s="17"/>
      <c r="X32" s="10"/>
      <c r="Y32" s="10"/>
      <c r="Z32" s="10"/>
      <c r="AA32" s="11"/>
      <c r="AB32" s="10"/>
      <c r="AC32" s="12"/>
      <c r="AD32" s="12"/>
      <c r="AE32" s="12"/>
      <c r="AF32" s="12"/>
      <c r="AG32" s="17"/>
      <c r="AH32" s="17"/>
      <c r="AI32" s="17"/>
      <c r="AK32" s="17"/>
      <c r="AL32" s="17"/>
      <c r="AM32" s="17"/>
      <c r="AS32" s="4"/>
      <c r="AT32" s="4"/>
      <c r="AU32" s="4"/>
      <c r="AV32" s="4"/>
      <c r="AW32" s="17"/>
      <c r="AX32" s="17"/>
      <c r="AY32" s="17"/>
      <c r="AZ32" s="17"/>
      <c r="BA32" s="17" t="s">
        <v>3</v>
      </c>
      <c r="BB32" s="17"/>
      <c r="BC32" s="17"/>
      <c r="BE32" s="17"/>
      <c r="BF32" s="17" t="s">
        <v>3</v>
      </c>
    </row>
    <row r="33" spans="1:58" ht="11.7" customHeight="1">
      <c r="A33" s="81"/>
      <c r="B33" s="75">
        <v>2535</v>
      </c>
      <c r="C33" s="25">
        <v>2536</v>
      </c>
      <c r="D33" s="25">
        <v>2537</v>
      </c>
      <c r="E33" s="25">
        <v>2538</v>
      </c>
      <c r="F33" s="25">
        <v>2539</v>
      </c>
      <c r="G33" s="25">
        <v>2540</v>
      </c>
      <c r="H33" s="25">
        <v>2541</v>
      </c>
      <c r="I33" s="25">
        <v>2542</v>
      </c>
      <c r="J33" s="25">
        <v>2543</v>
      </c>
      <c r="K33" s="25">
        <v>2544</v>
      </c>
      <c r="L33" s="25">
        <v>2545</v>
      </c>
      <c r="M33" s="75">
        <v>2546</v>
      </c>
      <c r="N33" s="75">
        <v>2547</v>
      </c>
      <c r="O33" s="75">
        <v>2548</v>
      </c>
      <c r="P33" s="75">
        <v>2549</v>
      </c>
      <c r="Q33" s="75">
        <v>2550</v>
      </c>
      <c r="R33" s="107">
        <v>2551</v>
      </c>
      <c r="S33" s="75">
        <v>2552</v>
      </c>
      <c r="T33" s="107">
        <v>2553</v>
      </c>
      <c r="U33" s="107">
        <v>2554</v>
      </c>
      <c r="V33" s="107">
        <v>2555</v>
      </c>
      <c r="W33" s="21"/>
      <c r="X33" s="20">
        <v>2536</v>
      </c>
      <c r="Y33" s="20">
        <v>2537</v>
      </c>
      <c r="Z33" s="20">
        <v>2538</v>
      </c>
      <c r="AA33" s="20">
        <v>2539</v>
      </c>
      <c r="AB33" s="20">
        <v>2540</v>
      </c>
      <c r="AC33" s="20">
        <v>2541</v>
      </c>
      <c r="AD33" s="25">
        <v>2542</v>
      </c>
      <c r="AE33" s="25">
        <v>2543</v>
      </c>
      <c r="AF33" s="25">
        <v>2544</v>
      </c>
      <c r="AG33" s="25">
        <v>2545</v>
      </c>
      <c r="AH33" s="75">
        <v>2546</v>
      </c>
      <c r="AI33" s="75">
        <v>2547</v>
      </c>
      <c r="AJ33" s="75">
        <v>2548</v>
      </c>
      <c r="AK33" s="75">
        <v>2549</v>
      </c>
      <c r="AL33" s="75">
        <v>2550</v>
      </c>
      <c r="AM33" s="108"/>
      <c r="AN33" s="19">
        <v>2536</v>
      </c>
      <c r="AO33" s="19">
        <v>2537</v>
      </c>
      <c r="AP33" s="19">
        <v>2538</v>
      </c>
      <c r="AQ33" s="19">
        <v>2539</v>
      </c>
      <c r="AR33" s="19">
        <v>2540</v>
      </c>
      <c r="AS33" s="19">
        <v>2541</v>
      </c>
      <c r="AT33" s="19">
        <v>2542</v>
      </c>
      <c r="AU33" s="19">
        <v>2543</v>
      </c>
      <c r="AV33" s="19">
        <v>2544</v>
      </c>
      <c r="AW33" s="19">
        <v>2545</v>
      </c>
      <c r="AX33" s="19">
        <v>2546</v>
      </c>
      <c r="AY33" s="109">
        <v>2547</v>
      </c>
      <c r="AZ33" s="75">
        <v>2548</v>
      </c>
      <c r="BA33" s="75">
        <v>2549</v>
      </c>
      <c r="BB33" s="107">
        <v>2551</v>
      </c>
      <c r="BC33" s="107">
        <v>2552</v>
      </c>
      <c r="BD33" s="107">
        <v>2553</v>
      </c>
      <c r="BE33" s="107">
        <v>2554</v>
      </c>
      <c r="BF33" s="107">
        <v>2555</v>
      </c>
    </row>
    <row r="34" spans="1:58" ht="11.7" customHeight="1">
      <c r="A34" s="82" t="s">
        <v>4</v>
      </c>
      <c r="B34" s="34">
        <v>78929.5</v>
      </c>
      <c r="C34" s="34">
        <v>87745.1</v>
      </c>
      <c r="D34" s="34">
        <v>101455.7</v>
      </c>
      <c r="E34" s="34">
        <v>127785.9</v>
      </c>
      <c r="F34" s="34">
        <v>159312.20000000001</v>
      </c>
      <c r="G34" s="34">
        <v>158144.85</v>
      </c>
      <c r="H34" s="34">
        <v>173693.74</v>
      </c>
      <c r="I34" s="33">
        <v>127567.85</v>
      </c>
      <c r="J34" s="33">
        <v>159000.42000000001</v>
      </c>
      <c r="K34" s="33">
        <v>239477.61</v>
      </c>
      <c r="L34" s="33">
        <v>219817.28</v>
      </c>
      <c r="M34" s="34">
        <v>255415.67</v>
      </c>
      <c r="N34" s="34">
        <v>275498.2</v>
      </c>
      <c r="O34" s="34">
        <v>360942.35</v>
      </c>
      <c r="P34" s="34">
        <v>385349.07</v>
      </c>
      <c r="Q34" s="34">
        <v>353298.22</v>
      </c>
      <c r="R34" s="105">
        <v>493804.75</v>
      </c>
      <c r="S34" s="34">
        <v>316238.180215</v>
      </c>
      <c r="T34" s="33">
        <v>441271.2</v>
      </c>
      <c r="U34" s="33">
        <v>533532.098536</v>
      </c>
      <c r="V34" s="33">
        <v>530078.24</v>
      </c>
      <c r="W34" s="35"/>
      <c r="X34" s="36">
        <f t="shared" ref="X34:AL53" si="28">((C34/B34)-1)*100</f>
        <v>11.168954573385115</v>
      </c>
      <c r="Y34" s="36">
        <f t="shared" si="28"/>
        <v>15.625487918983506</v>
      </c>
      <c r="Z34" s="36">
        <f t="shared" si="28"/>
        <v>25.95241075661594</v>
      </c>
      <c r="AA34" s="36">
        <f t="shared" si="28"/>
        <v>24.671188292292044</v>
      </c>
      <c r="AB34" s="36">
        <f t="shared" si="28"/>
        <v>-0.73274363168671641</v>
      </c>
      <c r="AC34" s="36">
        <f t="shared" si="28"/>
        <v>9.8320558652399868</v>
      </c>
      <c r="AD34" s="37">
        <f t="shared" si="28"/>
        <v>-26.555873573797186</v>
      </c>
      <c r="AE34" s="37">
        <f t="shared" si="28"/>
        <v>24.639883795172523</v>
      </c>
      <c r="AF34" s="37">
        <f t="shared" si="28"/>
        <v>50.614451207109987</v>
      </c>
      <c r="AG34" s="37">
        <f>((L34/K34)-1)*100</f>
        <v>-8.2096735473516702</v>
      </c>
      <c r="AH34" s="37">
        <f>((M34/L34)-1)*100</f>
        <v>16.194536662449831</v>
      </c>
      <c r="AI34" s="37">
        <f>((N34/M34)-1)*100</f>
        <v>7.8626851672804587</v>
      </c>
      <c r="AJ34" s="37">
        <f>((O34/N34)-1)*100</f>
        <v>31.0144131613201</v>
      </c>
      <c r="AK34" s="37">
        <f t="shared" ref="AK34:AL49" si="29">((P34/O34)-1)*100</f>
        <v>6.7619441165604588</v>
      </c>
      <c r="AL34" s="37">
        <f t="shared" si="29"/>
        <v>-8.3173549633842487</v>
      </c>
      <c r="AN34" s="37">
        <f t="shared" ref="AN34:AZ35" si="30">+(C34/C$60)*100</f>
        <v>7.4953184744334296</v>
      </c>
      <c r="AO34" s="37">
        <f t="shared" si="30"/>
        <v>7.4095256095918645</v>
      </c>
      <c r="AP34" s="37">
        <f t="shared" si="30"/>
        <v>7.2457778197124139</v>
      </c>
      <c r="AQ34" s="37">
        <f t="shared" si="30"/>
        <v>8.6921655158386084</v>
      </c>
      <c r="AR34" s="37">
        <f t="shared" si="30"/>
        <v>8.2184627825901195</v>
      </c>
      <c r="AS34" s="37">
        <f t="shared" si="30"/>
        <v>9.7907125662344168</v>
      </c>
      <c r="AT34" s="37">
        <f t="shared" si="30"/>
        <v>6.688082092762544</v>
      </c>
      <c r="AU34" s="37">
        <f t="shared" si="30"/>
        <v>6.3749771629074647</v>
      </c>
      <c r="AV34" s="37">
        <f t="shared" si="30"/>
        <v>8.7115661829849973</v>
      </c>
      <c r="AW34" s="37">
        <f t="shared" si="30"/>
        <v>7.9216513544258031</v>
      </c>
      <c r="AX34" s="37">
        <f t="shared" si="30"/>
        <v>8.137429385807021</v>
      </c>
      <c r="AY34" s="37">
        <f t="shared" si="30"/>
        <v>7.2479183507060672</v>
      </c>
      <c r="AZ34" s="37">
        <f t="shared" si="30"/>
        <v>7.5923534346035995</v>
      </c>
      <c r="BA34" s="79"/>
      <c r="BB34" s="37">
        <f t="shared" ref="BB34:BF60" si="31">((R34/Q34)-1)*100</f>
        <v>39.769951289310221</v>
      </c>
      <c r="BC34" s="37">
        <f t="shared" si="31"/>
        <v>-35.958862239579517</v>
      </c>
      <c r="BD34" s="115">
        <f t="shared" si="31"/>
        <v>39.537610449185536</v>
      </c>
      <c r="BE34" s="115">
        <f t="shared" si="31"/>
        <v>20.907980973152117</v>
      </c>
      <c r="BF34" s="115">
        <f t="shared" si="31"/>
        <v>-0.6473572153348095</v>
      </c>
    </row>
    <row r="35" spans="1:58" ht="11.7" customHeight="1">
      <c r="A35" s="82" t="s">
        <v>5</v>
      </c>
      <c r="B35" s="34">
        <v>74206.7</v>
      </c>
      <c r="C35" s="34">
        <v>88418.4</v>
      </c>
      <c r="D35" s="34">
        <v>94902.399999999994</v>
      </c>
      <c r="E35" s="34">
        <v>126632.4</v>
      </c>
      <c r="F35" s="34">
        <v>145548.9</v>
      </c>
      <c r="G35" s="34">
        <v>140647.46</v>
      </c>
      <c r="H35" s="34">
        <v>169036.92</v>
      </c>
      <c r="I35" s="34">
        <v>134980.26999999999</v>
      </c>
      <c r="J35" s="34">
        <v>187017.94</v>
      </c>
      <c r="K35" s="34">
        <v>224990.74</v>
      </c>
      <c r="L35" s="34">
        <v>192925.11</v>
      </c>
      <c r="M35" s="34">
        <v>231618.09</v>
      </c>
      <c r="N35" s="34">
        <v>263820.44</v>
      </c>
      <c r="O35" s="34">
        <v>318003</v>
      </c>
      <c r="P35" s="34">
        <v>386674.23</v>
      </c>
      <c r="Q35" s="34">
        <v>370689.41</v>
      </c>
      <c r="R35" s="105">
        <v>454565.08</v>
      </c>
      <c r="S35" s="34">
        <v>285961.28430699999</v>
      </c>
      <c r="T35" s="34">
        <v>462600.19</v>
      </c>
      <c r="U35" s="105">
        <v>525615.38695099996</v>
      </c>
      <c r="V35" s="105">
        <v>587445.25</v>
      </c>
      <c r="W35" s="35"/>
      <c r="X35" s="36">
        <f t="shared" si="28"/>
        <v>19.151505187536966</v>
      </c>
      <c r="Y35" s="36">
        <f t="shared" si="28"/>
        <v>7.3333152375523625</v>
      </c>
      <c r="Z35" s="36">
        <f t="shared" si="28"/>
        <v>33.434349394746611</v>
      </c>
      <c r="AA35" s="36">
        <f t="shared" si="28"/>
        <v>14.938120101964426</v>
      </c>
      <c r="AB35" s="36">
        <f t="shared" si="28"/>
        <v>-3.3675555088358622</v>
      </c>
      <c r="AC35" s="36">
        <f t="shared" si="28"/>
        <v>20.184836612051171</v>
      </c>
      <c r="AD35" s="37">
        <f t="shared" si="28"/>
        <v>-20.147462459680419</v>
      </c>
      <c r="AE35" s="37">
        <f t="shared" si="28"/>
        <v>38.552056533891978</v>
      </c>
      <c r="AF35" s="37">
        <f t="shared" si="28"/>
        <v>20.304362244606054</v>
      </c>
      <c r="AG35" s="37">
        <f t="shared" si="28"/>
        <v>-14.251977659169446</v>
      </c>
      <c r="AH35" s="37">
        <f t="shared" si="28"/>
        <v>20.055958501202873</v>
      </c>
      <c r="AI35" s="37">
        <f t="shared" si="28"/>
        <v>13.903210237162389</v>
      </c>
      <c r="AJ35" s="37">
        <f t="shared" si="28"/>
        <v>20.537665694136507</v>
      </c>
      <c r="AK35" s="37">
        <f t="shared" si="29"/>
        <v>21.594522693182139</v>
      </c>
      <c r="AL35" s="37">
        <f t="shared" si="29"/>
        <v>-4.1339243114287711</v>
      </c>
      <c r="AN35" s="37">
        <f t="shared" si="30"/>
        <v>7.5528327735662133</v>
      </c>
      <c r="AO35" s="37">
        <f t="shared" si="30"/>
        <v>6.9309241689893319</v>
      </c>
      <c r="AP35" s="37">
        <f t="shared" si="30"/>
        <v>7.1803715055960806</v>
      </c>
      <c r="AQ35" s="37">
        <f t="shared" si="30"/>
        <v>7.9412319298097822</v>
      </c>
      <c r="AR35" s="37">
        <f t="shared" si="30"/>
        <v>7.3091593907473582</v>
      </c>
      <c r="AS35" s="37">
        <f t="shared" si="30"/>
        <v>9.5282184424237837</v>
      </c>
      <c r="AT35" s="37">
        <f t="shared" si="30"/>
        <v>7.0766978252220545</v>
      </c>
      <c r="AU35" s="37">
        <f t="shared" si="30"/>
        <v>7.4983141337236621</v>
      </c>
      <c r="AV35" s="37">
        <f t="shared" si="30"/>
        <v>8.1845719191400406</v>
      </c>
      <c r="AW35" s="37">
        <f t="shared" si="30"/>
        <v>6.9525264753264482</v>
      </c>
      <c r="AX35" s="37">
        <f t="shared" si="30"/>
        <v>7.3792490956036305</v>
      </c>
      <c r="AY35" s="37">
        <f t="shared" si="30"/>
        <v>6.9406951056934272</v>
      </c>
      <c r="AZ35" s="37">
        <f t="shared" si="30"/>
        <v>6.6891324037321978</v>
      </c>
      <c r="BA35" s="79"/>
      <c r="BB35" s="37">
        <f t="shared" si="31"/>
        <v>22.626939895585373</v>
      </c>
      <c r="BC35" s="37">
        <f t="shared" si="31"/>
        <v>-37.091233601358034</v>
      </c>
      <c r="BD35" s="37">
        <f t="shared" si="31"/>
        <v>61.770216944250912</v>
      </c>
      <c r="BE35" s="37">
        <f t="shared" si="31"/>
        <v>13.621956564911919</v>
      </c>
      <c r="BF35" s="37">
        <f t="shared" si="31"/>
        <v>11.763328202331348</v>
      </c>
    </row>
    <row r="36" spans="1:58" ht="8.5500000000000007" hidden="1" customHeight="1">
      <c r="A36" s="83" t="s">
        <v>6</v>
      </c>
      <c r="B36" s="38">
        <f t="shared" ref="B36:U36" si="32">+B34+B35</f>
        <v>153136.20000000001</v>
      </c>
      <c r="C36" s="38">
        <f t="shared" si="32"/>
        <v>176163.5</v>
      </c>
      <c r="D36" s="38">
        <f t="shared" si="32"/>
        <v>196358.09999999998</v>
      </c>
      <c r="E36" s="38">
        <f t="shared" si="32"/>
        <v>254418.3</v>
      </c>
      <c r="F36" s="38">
        <f t="shared" si="32"/>
        <v>304861.09999999998</v>
      </c>
      <c r="G36" s="38">
        <f t="shared" si="32"/>
        <v>298792.31</v>
      </c>
      <c r="H36" s="38">
        <f t="shared" si="32"/>
        <v>342730.66000000003</v>
      </c>
      <c r="I36" s="38">
        <f t="shared" si="32"/>
        <v>262548.12</v>
      </c>
      <c r="J36" s="38">
        <f t="shared" si="32"/>
        <v>346018.36</v>
      </c>
      <c r="K36" s="38">
        <f t="shared" si="32"/>
        <v>464468.35</v>
      </c>
      <c r="L36" s="38">
        <f t="shared" si="32"/>
        <v>412742.39</v>
      </c>
      <c r="M36" s="38">
        <f t="shared" si="32"/>
        <v>487033.76</v>
      </c>
      <c r="N36" s="38">
        <f t="shared" si="32"/>
        <v>539318.64</v>
      </c>
      <c r="O36" s="38">
        <f t="shared" si="32"/>
        <v>678945.35</v>
      </c>
      <c r="P36" s="38">
        <f t="shared" si="32"/>
        <v>772023.3</v>
      </c>
      <c r="Q36" s="38">
        <f t="shared" si="32"/>
        <v>723987.62999999989</v>
      </c>
      <c r="R36" s="38">
        <f t="shared" si="32"/>
        <v>948369.83000000007</v>
      </c>
      <c r="S36" s="38">
        <f t="shared" si="32"/>
        <v>602199.46452199994</v>
      </c>
      <c r="T36" s="38">
        <f t="shared" si="32"/>
        <v>903871.39</v>
      </c>
      <c r="U36" s="38">
        <f t="shared" si="32"/>
        <v>1059147.4854870001</v>
      </c>
      <c r="V36" s="38">
        <f>+V34+V35</f>
        <v>1117523.49</v>
      </c>
      <c r="W36" s="39"/>
      <c r="X36" s="40">
        <f t="shared" si="28"/>
        <v>15.037136875539536</v>
      </c>
      <c r="Y36" s="40">
        <f t="shared" si="28"/>
        <v>11.463555163243221</v>
      </c>
      <c r="Z36" s="40">
        <f t="shared" si="28"/>
        <v>29.568528112667636</v>
      </c>
      <c r="AA36" s="40">
        <f t="shared" si="28"/>
        <v>19.826718439671986</v>
      </c>
      <c r="AB36" s="40">
        <f t="shared" si="28"/>
        <v>-1.9906737855370782</v>
      </c>
      <c r="AC36" s="40">
        <f t="shared" si="28"/>
        <v>14.705314872394148</v>
      </c>
      <c r="AD36" s="253">
        <f t="shared" si="28"/>
        <v>-23.395204852696871</v>
      </c>
      <c r="AE36" s="253">
        <f t="shared" si="28"/>
        <v>31.792358673145316</v>
      </c>
      <c r="AF36" s="253">
        <f t="shared" si="28"/>
        <v>34.232284668362681</v>
      </c>
      <c r="AG36" s="253">
        <f t="shared" si="28"/>
        <v>-11.136595206110378</v>
      </c>
      <c r="AH36" s="253">
        <f t="shared" si="28"/>
        <v>17.999452394506889</v>
      </c>
      <c r="AI36" s="253">
        <f t="shared" si="28"/>
        <v>10.735370788259125</v>
      </c>
      <c r="AJ36" s="253">
        <f t="shared" si="28"/>
        <v>25.889464899637062</v>
      </c>
      <c r="AK36" s="253">
        <f t="shared" si="29"/>
        <v>13.709196181990201</v>
      </c>
      <c r="AL36" s="253">
        <f t="shared" si="29"/>
        <v>-6.2220492568035413</v>
      </c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79"/>
      <c r="BB36" s="253">
        <f t="shared" si="31"/>
        <v>30.992546101927211</v>
      </c>
      <c r="BC36" s="253">
        <f t="shared" si="31"/>
        <v>-36.501621469548454</v>
      </c>
      <c r="BD36" s="253">
        <f t="shared" si="31"/>
        <v>50.095017224476337</v>
      </c>
      <c r="BE36" s="253">
        <f t="shared" si="31"/>
        <v>17.179003252553461</v>
      </c>
      <c r="BF36" s="37">
        <f t="shared" si="31"/>
        <v>5.5116029932468225</v>
      </c>
    </row>
    <row r="37" spans="1:58" ht="11.7" customHeight="1">
      <c r="A37" s="82" t="s">
        <v>7</v>
      </c>
      <c r="B37" s="34">
        <v>85653.5</v>
      </c>
      <c r="C37" s="34">
        <v>102608</v>
      </c>
      <c r="D37" s="34">
        <v>119123.8</v>
      </c>
      <c r="E37" s="34">
        <v>157329.5</v>
      </c>
      <c r="F37" s="34">
        <v>163127.79999999999</v>
      </c>
      <c r="G37" s="34">
        <v>153370.46</v>
      </c>
      <c r="H37" s="34">
        <v>173212.18</v>
      </c>
      <c r="I37" s="34">
        <v>160456.54</v>
      </c>
      <c r="J37" s="34">
        <v>180041.38</v>
      </c>
      <c r="K37" s="34">
        <v>244809.65</v>
      </c>
      <c r="L37" s="34">
        <v>230541.6</v>
      </c>
      <c r="M37" s="34">
        <v>263417.28999999998</v>
      </c>
      <c r="N37" s="34">
        <v>322489.63</v>
      </c>
      <c r="O37" s="34">
        <v>410604.22</v>
      </c>
      <c r="P37" s="34">
        <v>425055.73</v>
      </c>
      <c r="Q37" s="34">
        <v>394385.02</v>
      </c>
      <c r="R37" s="105">
        <v>475990.03</v>
      </c>
      <c r="S37" s="34">
        <v>334678.01440599997</v>
      </c>
      <c r="T37" s="34">
        <v>515916.06677199999</v>
      </c>
      <c r="U37" s="34">
        <v>599220.43275000004</v>
      </c>
      <c r="V37" s="34">
        <v>755769.85</v>
      </c>
      <c r="W37" s="35"/>
      <c r="X37" s="36">
        <f t="shared" si="28"/>
        <v>19.794287448849147</v>
      </c>
      <c r="Y37" s="36">
        <f t="shared" si="28"/>
        <v>16.096015905192584</v>
      </c>
      <c r="Z37" s="36">
        <f t="shared" si="28"/>
        <v>32.072264316618515</v>
      </c>
      <c r="AA37" s="36">
        <f t="shared" si="28"/>
        <v>3.6854499632935855</v>
      </c>
      <c r="AB37" s="36">
        <f t="shared" si="28"/>
        <v>-5.9814084417248337</v>
      </c>
      <c r="AC37" s="36">
        <f t="shared" si="28"/>
        <v>12.937119703494403</v>
      </c>
      <c r="AD37" s="37">
        <f t="shared" si="28"/>
        <v>-7.3641703487595356</v>
      </c>
      <c r="AE37" s="37">
        <f t="shared" si="28"/>
        <v>12.205697567702757</v>
      </c>
      <c r="AF37" s="37">
        <f t="shared" si="28"/>
        <v>35.974102175844223</v>
      </c>
      <c r="AG37" s="37">
        <f t="shared" si="28"/>
        <v>-5.8282220492533625</v>
      </c>
      <c r="AH37" s="37">
        <f t="shared" si="28"/>
        <v>14.26019859322567</v>
      </c>
      <c r="AI37" s="37">
        <f t="shared" si="28"/>
        <v>22.425384453693241</v>
      </c>
      <c r="AJ37" s="37">
        <f t="shared" si="28"/>
        <v>27.323232067958259</v>
      </c>
      <c r="AK37" s="37">
        <f t="shared" si="29"/>
        <v>3.5195717179915986</v>
      </c>
      <c r="AL37" s="37">
        <f t="shared" si="29"/>
        <v>-7.2156914576824942</v>
      </c>
      <c r="AN37" s="37">
        <f t="shared" ref="AN37:AZ39" si="33">+(C37/C$60)*100</f>
        <v>8.7649297570424487</v>
      </c>
      <c r="AO37" s="37">
        <f t="shared" si="33"/>
        <v>8.6998645400100667</v>
      </c>
      <c r="AP37" s="37">
        <f t="shared" si="33"/>
        <v>8.9209732958522352</v>
      </c>
      <c r="AQ37" s="37">
        <f t="shared" si="33"/>
        <v>8.9003468524985365</v>
      </c>
      <c r="AR37" s="37">
        <f t="shared" si="33"/>
        <v>7.9703475482048658</v>
      </c>
      <c r="AS37" s="37">
        <f t="shared" si="33"/>
        <v>9.7635681478840723</v>
      </c>
      <c r="AT37" s="37">
        <f t="shared" si="33"/>
        <v>8.4123586925752605</v>
      </c>
      <c r="AU37" s="37">
        <f t="shared" si="33"/>
        <v>7.2185953086057548</v>
      </c>
      <c r="AV37" s="37">
        <f t="shared" si="33"/>
        <v>8.9055317873282327</v>
      </c>
      <c r="AW37" s="37">
        <f t="shared" si="33"/>
        <v>8.3081283595697837</v>
      </c>
      <c r="AX37" s="37">
        <f t="shared" si="33"/>
        <v>8.392357432007401</v>
      </c>
      <c r="AY37" s="37">
        <f t="shared" si="33"/>
        <v>8.4841879445651909</v>
      </c>
      <c r="AZ37" s="37">
        <f t="shared" si="33"/>
        <v>8.6369813904623047</v>
      </c>
      <c r="BA37" s="79"/>
      <c r="BB37" s="37">
        <f t="shared" si="31"/>
        <v>20.691711363682131</v>
      </c>
      <c r="BC37" s="37">
        <f t="shared" si="31"/>
        <v>-29.688020060840358</v>
      </c>
      <c r="BD37" s="37">
        <f t="shared" si="31"/>
        <v>54.152960327456398</v>
      </c>
      <c r="BE37" s="37">
        <f t="shared" si="31"/>
        <v>16.146883445445191</v>
      </c>
      <c r="BF37" s="37">
        <f t="shared" si="31"/>
        <v>26.125513866666438</v>
      </c>
    </row>
    <row r="38" spans="1:58" ht="11.7" customHeight="1">
      <c r="A38" s="84" t="s">
        <v>8</v>
      </c>
      <c r="B38" s="38">
        <f t="shared" ref="B38:V38" si="34">+B34+B35+B37</f>
        <v>238789.7</v>
      </c>
      <c r="C38" s="38">
        <f t="shared" si="34"/>
        <v>278771.5</v>
      </c>
      <c r="D38" s="38">
        <f t="shared" si="34"/>
        <v>315481.89999999997</v>
      </c>
      <c r="E38" s="38">
        <f t="shared" si="34"/>
        <v>411747.8</v>
      </c>
      <c r="F38" s="38">
        <f t="shared" si="34"/>
        <v>467988.89999999997</v>
      </c>
      <c r="G38" s="38">
        <f t="shared" si="34"/>
        <v>452162.77</v>
      </c>
      <c r="H38" s="38">
        <f t="shared" si="34"/>
        <v>515942.84</v>
      </c>
      <c r="I38" s="38">
        <f t="shared" si="34"/>
        <v>423004.66000000003</v>
      </c>
      <c r="J38" s="38">
        <f t="shared" si="34"/>
        <v>526059.74</v>
      </c>
      <c r="K38" s="38">
        <f t="shared" si="34"/>
        <v>709278</v>
      </c>
      <c r="L38" s="38">
        <f t="shared" si="34"/>
        <v>643283.99</v>
      </c>
      <c r="M38" s="38">
        <f t="shared" si="34"/>
        <v>750451.05</v>
      </c>
      <c r="N38" s="38">
        <f t="shared" si="34"/>
        <v>861808.27</v>
      </c>
      <c r="O38" s="38">
        <f t="shared" si="34"/>
        <v>1089549.5699999998</v>
      </c>
      <c r="P38" s="38">
        <f t="shared" si="34"/>
        <v>1197079.03</v>
      </c>
      <c r="Q38" s="38">
        <f t="shared" si="34"/>
        <v>1118372.6499999999</v>
      </c>
      <c r="R38" s="38">
        <f t="shared" si="34"/>
        <v>1424359.86</v>
      </c>
      <c r="S38" s="38">
        <f t="shared" si="34"/>
        <v>936877.47892799997</v>
      </c>
      <c r="T38" s="38">
        <f t="shared" si="34"/>
        <v>1419787.4567720001</v>
      </c>
      <c r="U38" s="38">
        <f t="shared" si="34"/>
        <v>1658367.9182370002</v>
      </c>
      <c r="V38" s="38">
        <f t="shared" si="34"/>
        <v>1873293.3399999999</v>
      </c>
      <c r="W38" s="39"/>
      <c r="X38" s="40">
        <f t="shared" si="28"/>
        <v>16.743519506913394</v>
      </c>
      <c r="Y38" s="40">
        <f t="shared" si="28"/>
        <v>13.168634526843647</v>
      </c>
      <c r="Z38" s="40">
        <f t="shared" si="28"/>
        <v>30.513921717854497</v>
      </c>
      <c r="AA38" s="40">
        <f t="shared" si="28"/>
        <v>13.659113661323751</v>
      </c>
      <c r="AB38" s="40">
        <f t="shared" si="28"/>
        <v>-3.3817319171458915</v>
      </c>
      <c r="AC38" s="40">
        <f t="shared" si="28"/>
        <v>14.10555539546079</v>
      </c>
      <c r="AD38" s="253">
        <f t="shared" si="28"/>
        <v>-18.013270617342027</v>
      </c>
      <c r="AE38" s="253">
        <f t="shared" si="28"/>
        <v>24.362634681140371</v>
      </c>
      <c r="AF38" s="253">
        <f t="shared" si="28"/>
        <v>34.828413214058159</v>
      </c>
      <c r="AG38" s="253">
        <f t="shared" si="28"/>
        <v>-9.3043926358917126</v>
      </c>
      <c r="AH38" s="253">
        <f t="shared" si="28"/>
        <v>16.659369993025951</v>
      </c>
      <c r="AI38" s="253">
        <f t="shared" si="28"/>
        <v>14.83870533594429</v>
      </c>
      <c r="AJ38" s="253">
        <f t="shared" si="28"/>
        <v>26.425982196712951</v>
      </c>
      <c r="AK38" s="253">
        <f t="shared" si="29"/>
        <v>9.8691663932280136</v>
      </c>
      <c r="AL38" s="253">
        <f t="shared" si="29"/>
        <v>-6.5748691629825107</v>
      </c>
      <c r="AN38" s="37">
        <f t="shared" si="33"/>
        <v>23.813081005042093</v>
      </c>
      <c r="AO38" s="37">
        <f t="shared" si="33"/>
        <v>23.040314318591264</v>
      </c>
      <c r="AP38" s="37">
        <f t="shared" si="33"/>
        <v>23.347122621160732</v>
      </c>
      <c r="AQ38" s="37">
        <f t="shared" si="33"/>
        <v>25.533744298146928</v>
      </c>
      <c r="AR38" s="37">
        <f t="shared" si="33"/>
        <v>23.497969721542344</v>
      </c>
      <c r="AS38" s="37">
        <f t="shared" si="33"/>
        <v>29.082499156542273</v>
      </c>
      <c r="AT38" s="37">
        <f t="shared" si="33"/>
        <v>22.177138610559862</v>
      </c>
      <c r="AU38" s="37">
        <f t="shared" si="33"/>
        <v>21.09188660523688</v>
      </c>
      <c r="AV38" s="37">
        <f t="shared" si="33"/>
        <v>25.801669889453272</v>
      </c>
      <c r="AW38" s="37">
        <f t="shared" si="33"/>
        <v>23.182306189322034</v>
      </c>
      <c r="AX38" s="37">
        <f t="shared" si="33"/>
        <v>23.909035913418055</v>
      </c>
      <c r="AY38" s="37">
        <f t="shared" si="33"/>
        <v>22.672801400964687</v>
      </c>
      <c r="AZ38" s="37">
        <f t="shared" si="33"/>
        <v>22.918467228798097</v>
      </c>
      <c r="BA38" s="79"/>
      <c r="BB38" s="253">
        <f t="shared" si="31"/>
        <v>27.360040501705775</v>
      </c>
      <c r="BC38" s="253">
        <f t="shared" si="31"/>
        <v>-34.224664339530044</v>
      </c>
      <c r="BD38" s="253">
        <f t="shared" si="31"/>
        <v>51.544624425870332</v>
      </c>
      <c r="BE38" s="253">
        <f t="shared" si="31"/>
        <v>16.803956136324217</v>
      </c>
      <c r="BF38" s="253">
        <f t="shared" si="31"/>
        <v>12.960056655671771</v>
      </c>
    </row>
    <row r="39" spans="1:58" ht="11.7" customHeight="1">
      <c r="A39" s="82" t="s">
        <v>10</v>
      </c>
      <c r="B39" s="34">
        <v>85110.6</v>
      </c>
      <c r="C39" s="34">
        <v>99498.1</v>
      </c>
      <c r="D39" s="34">
        <v>103796.3</v>
      </c>
      <c r="E39" s="34">
        <v>127089.4</v>
      </c>
      <c r="F39" s="34">
        <v>160455.70000000001</v>
      </c>
      <c r="G39" s="34">
        <v>150141.82</v>
      </c>
      <c r="H39" s="34">
        <v>143965.06</v>
      </c>
      <c r="I39" s="34">
        <v>141309.45000000001</v>
      </c>
      <c r="J39" s="34">
        <v>180654.76</v>
      </c>
      <c r="K39" s="34">
        <v>219367.77</v>
      </c>
      <c r="L39" s="34">
        <v>224733.77</v>
      </c>
      <c r="M39" s="34">
        <v>249215.85</v>
      </c>
      <c r="N39" s="34">
        <v>297990.90999999997</v>
      </c>
      <c r="O39" s="34">
        <v>376514.89</v>
      </c>
      <c r="P39" s="34">
        <v>380424.29</v>
      </c>
      <c r="Q39" s="34">
        <v>376928.41</v>
      </c>
      <c r="R39" s="105">
        <v>484751.87</v>
      </c>
      <c r="S39" s="34">
        <v>349464.50059900002</v>
      </c>
      <c r="T39" s="34">
        <v>472245.391787</v>
      </c>
      <c r="U39" s="34">
        <v>558036.20052399999</v>
      </c>
      <c r="V39" s="34">
        <v>611007.96</v>
      </c>
      <c r="W39" s="35"/>
      <c r="X39" s="36">
        <f t="shared" si="28"/>
        <v>16.904474883269536</v>
      </c>
      <c r="Y39" s="36">
        <f t="shared" si="28"/>
        <v>4.3198814851740819</v>
      </c>
      <c r="Z39" s="36">
        <f t="shared" si="28"/>
        <v>22.441166014588187</v>
      </c>
      <c r="AA39" s="36">
        <f t="shared" si="28"/>
        <v>26.254195865272798</v>
      </c>
      <c r="AB39" s="36">
        <f t="shared" si="28"/>
        <v>-6.4278676295077108</v>
      </c>
      <c r="AC39" s="36">
        <f t="shared" si="28"/>
        <v>-4.1139503970312958</v>
      </c>
      <c r="AD39" s="37">
        <f t="shared" si="28"/>
        <v>-1.8446211879465602</v>
      </c>
      <c r="AE39" s="37">
        <f t="shared" si="28"/>
        <v>27.843367871009338</v>
      </c>
      <c r="AF39" s="37">
        <f t="shared" si="28"/>
        <v>21.429277590028619</v>
      </c>
      <c r="AG39" s="37">
        <f t="shared" si="28"/>
        <v>2.4461205034814304</v>
      </c>
      <c r="AH39" s="37">
        <f t="shared" si="28"/>
        <v>10.893814489918462</v>
      </c>
      <c r="AI39" s="37">
        <f t="shared" si="28"/>
        <v>19.571411689906547</v>
      </c>
      <c r="AJ39" s="37">
        <f t="shared" si="28"/>
        <v>26.351132657033084</v>
      </c>
      <c r="AK39" s="37">
        <f t="shared" si="29"/>
        <v>1.0383121899906644</v>
      </c>
      <c r="AL39" s="37">
        <f t="shared" si="29"/>
        <v>-0.91894237352719843</v>
      </c>
      <c r="AN39" s="37">
        <f t="shared" si="33"/>
        <v>8.4992774194915146</v>
      </c>
      <c r="AO39" s="37">
        <f t="shared" si="33"/>
        <v>7.5804646070243482</v>
      </c>
      <c r="AP39" s="37">
        <f t="shared" si="33"/>
        <v>7.2062845403175064</v>
      </c>
      <c r="AQ39" s="37">
        <f t="shared" si="33"/>
        <v>8.7545555353560172</v>
      </c>
      <c r="AR39" s="37">
        <f t="shared" si="33"/>
        <v>7.8025617639799512</v>
      </c>
      <c r="AS39" s="37">
        <f t="shared" si="33"/>
        <v>8.1149759458267852</v>
      </c>
      <c r="AT39" s="37">
        <f t="shared" si="33"/>
        <v>7.4085218343267849</v>
      </c>
      <c r="AU39" s="37">
        <f t="shared" si="33"/>
        <v>7.243188221581609</v>
      </c>
      <c r="AV39" s="37">
        <f t="shared" si="33"/>
        <v>7.9800230458656696</v>
      </c>
      <c r="AW39" s="37">
        <f t="shared" si="33"/>
        <v>8.0988290525008626</v>
      </c>
      <c r="AX39" s="37">
        <f t="shared" si="33"/>
        <v>7.9399058843918029</v>
      </c>
      <c r="AY39" s="37">
        <f t="shared" si="33"/>
        <v>7.8396656854113749</v>
      </c>
      <c r="AZ39" s="37">
        <f t="shared" si="33"/>
        <v>7.9199188409752876</v>
      </c>
      <c r="BA39" s="79"/>
      <c r="BB39" s="37">
        <f t="shared" si="31"/>
        <v>28.605819338478632</v>
      </c>
      <c r="BC39" s="37">
        <f t="shared" si="31"/>
        <v>-27.908581229609275</v>
      </c>
      <c r="BD39" s="37">
        <f t="shared" si="31"/>
        <v>35.134009599701052</v>
      </c>
      <c r="BE39" s="37">
        <f t="shared" si="31"/>
        <v>18.166574037358686</v>
      </c>
      <c r="BF39" s="37">
        <f t="shared" si="31"/>
        <v>9.4925310268866312</v>
      </c>
    </row>
    <row r="40" spans="1:58" ht="8.5500000000000007" hidden="1" customHeight="1">
      <c r="A40" s="304" t="s">
        <v>11</v>
      </c>
      <c r="B40" s="252">
        <f t="shared" ref="B40:U40" si="35">+B38+B39</f>
        <v>323900.30000000005</v>
      </c>
      <c r="C40" s="252">
        <f t="shared" si="35"/>
        <v>378269.6</v>
      </c>
      <c r="D40" s="252">
        <f t="shared" si="35"/>
        <v>419278.19999999995</v>
      </c>
      <c r="E40" s="252">
        <f t="shared" si="35"/>
        <v>538837.19999999995</v>
      </c>
      <c r="F40" s="252">
        <f t="shared" si="35"/>
        <v>628444.6</v>
      </c>
      <c r="G40" s="252">
        <f t="shared" si="35"/>
        <v>602304.59000000008</v>
      </c>
      <c r="H40" s="252">
        <f t="shared" si="35"/>
        <v>659907.9</v>
      </c>
      <c r="I40" s="252">
        <f t="shared" si="35"/>
        <v>564314.1100000001</v>
      </c>
      <c r="J40" s="252">
        <f t="shared" si="35"/>
        <v>706714.5</v>
      </c>
      <c r="K40" s="252">
        <f t="shared" si="35"/>
        <v>928645.77</v>
      </c>
      <c r="L40" s="252">
        <f t="shared" si="35"/>
        <v>868017.76</v>
      </c>
      <c r="M40" s="252">
        <f t="shared" si="35"/>
        <v>999666.9</v>
      </c>
      <c r="N40" s="252">
        <f t="shared" si="35"/>
        <v>1159799.18</v>
      </c>
      <c r="O40" s="252">
        <f t="shared" si="35"/>
        <v>1466064.46</v>
      </c>
      <c r="P40" s="252">
        <f t="shared" si="35"/>
        <v>1577503.32</v>
      </c>
      <c r="Q40" s="252">
        <f t="shared" si="35"/>
        <v>1495301.0599999998</v>
      </c>
      <c r="R40" s="252">
        <f t="shared" si="35"/>
        <v>1909111.73</v>
      </c>
      <c r="S40" s="252">
        <f t="shared" si="35"/>
        <v>1286341.9795269999</v>
      </c>
      <c r="T40" s="252">
        <f t="shared" si="35"/>
        <v>1892032.8485590001</v>
      </c>
      <c r="U40" s="252">
        <f t="shared" si="35"/>
        <v>2216404.1187610002</v>
      </c>
      <c r="V40" s="252">
        <f>+V38+V39</f>
        <v>2484301.2999999998</v>
      </c>
      <c r="W40" s="39"/>
      <c r="X40" s="40">
        <f t="shared" si="28"/>
        <v>16.785813412337049</v>
      </c>
      <c r="Y40" s="40">
        <f t="shared" si="28"/>
        <v>10.841103805328256</v>
      </c>
      <c r="Z40" s="40">
        <f t="shared" si="28"/>
        <v>28.515434382231184</v>
      </c>
      <c r="AA40" s="40">
        <f t="shared" si="28"/>
        <v>16.629772406211018</v>
      </c>
      <c r="AB40" s="40">
        <f t="shared" si="28"/>
        <v>-4.1594772236088762</v>
      </c>
      <c r="AC40" s="40">
        <f t="shared" si="28"/>
        <v>9.5638172041823353</v>
      </c>
      <c r="AD40" s="253">
        <f t="shared" si="28"/>
        <v>-14.485929021307353</v>
      </c>
      <c r="AE40" s="253">
        <f t="shared" si="28"/>
        <v>25.234242326494339</v>
      </c>
      <c r="AF40" s="253">
        <f t="shared" si="28"/>
        <v>31.403242752200498</v>
      </c>
      <c r="AG40" s="253">
        <f t="shared" si="28"/>
        <v>-6.5286476241635194</v>
      </c>
      <c r="AH40" s="253">
        <f t="shared" si="28"/>
        <v>15.166641290841799</v>
      </c>
      <c r="AI40" s="253">
        <f t="shared" si="28"/>
        <v>16.018563783596296</v>
      </c>
      <c r="AJ40" s="253">
        <f t="shared" si="28"/>
        <v>26.406750865266183</v>
      </c>
      <c r="AK40" s="253">
        <f t="shared" si="29"/>
        <v>7.6012251193920966</v>
      </c>
      <c r="AL40" s="253">
        <f t="shared" si="29"/>
        <v>-5.2109088429684096</v>
      </c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79"/>
      <c r="BB40" s="253">
        <f t="shared" si="31"/>
        <v>27.674070531321647</v>
      </c>
      <c r="BC40" s="253">
        <f t="shared" si="31"/>
        <v>-32.620916873890884</v>
      </c>
      <c r="BD40" s="253">
        <f t="shared" si="31"/>
        <v>47.086301984385081</v>
      </c>
      <c r="BE40" s="253">
        <f t="shared" si="31"/>
        <v>17.144061238104079</v>
      </c>
      <c r="BF40" s="253">
        <f t="shared" si="31"/>
        <v>12.087018742266075</v>
      </c>
    </row>
    <row r="41" spans="1:58" ht="11.7" customHeight="1">
      <c r="A41" s="82" t="s">
        <v>12</v>
      </c>
      <c r="B41" s="34">
        <v>74296.100000000006</v>
      </c>
      <c r="C41" s="34">
        <v>93616.7</v>
      </c>
      <c r="D41" s="34">
        <v>109109</v>
      </c>
      <c r="E41" s="34">
        <v>155144.1</v>
      </c>
      <c r="F41" s="34">
        <v>163639.29999999999</v>
      </c>
      <c r="G41" s="34">
        <v>143575.78</v>
      </c>
      <c r="H41" s="34">
        <v>131719.20000000001</v>
      </c>
      <c r="I41" s="34">
        <v>130876.54</v>
      </c>
      <c r="J41" s="34">
        <v>178877.91</v>
      </c>
      <c r="K41" s="34">
        <v>241975.89</v>
      </c>
      <c r="L41" s="34">
        <v>229237.67</v>
      </c>
      <c r="M41" s="34">
        <v>256648.95999999999</v>
      </c>
      <c r="N41" s="34">
        <v>311370.40999999997</v>
      </c>
      <c r="O41" s="34">
        <v>427492.74</v>
      </c>
      <c r="P41" s="34">
        <v>435884.42</v>
      </c>
      <c r="Q41" s="34">
        <v>427780.55</v>
      </c>
      <c r="R41" s="105">
        <v>447454.37</v>
      </c>
      <c r="S41" s="34">
        <v>330098.04984699999</v>
      </c>
      <c r="T41" s="34">
        <v>464153.35</v>
      </c>
      <c r="U41" s="34">
        <v>579051.134586</v>
      </c>
      <c r="V41" s="34">
        <v>703030.89</v>
      </c>
      <c r="W41" s="39"/>
      <c r="X41" s="40">
        <f t="shared" si="28"/>
        <v>26.004864319930633</v>
      </c>
      <c r="Y41" s="40">
        <f t="shared" si="28"/>
        <v>16.548649973776051</v>
      </c>
      <c r="Z41" s="40">
        <f t="shared" si="28"/>
        <v>42.191844852395313</v>
      </c>
      <c r="AA41" s="40">
        <f t="shared" si="28"/>
        <v>5.4756835741739396</v>
      </c>
      <c r="AB41" s="40">
        <f t="shared" si="28"/>
        <v>-12.260819986396909</v>
      </c>
      <c r="AC41" s="40">
        <f t="shared" si="28"/>
        <v>-8.2580641386729603</v>
      </c>
      <c r="AD41" s="253">
        <f t="shared" si="28"/>
        <v>-0.63973968867107045</v>
      </c>
      <c r="AE41" s="253">
        <f t="shared" si="28"/>
        <v>36.676832990847721</v>
      </c>
      <c r="AF41" s="253">
        <f t="shared" si="28"/>
        <v>35.274327612615778</v>
      </c>
      <c r="AG41" s="253">
        <f t="shared" si="28"/>
        <v>-5.2642517401217166</v>
      </c>
      <c r="AH41" s="37">
        <f t="shared" si="28"/>
        <v>11.957585330543608</v>
      </c>
      <c r="AI41" s="37">
        <f t="shared" si="28"/>
        <v>21.321516362271641</v>
      </c>
      <c r="AJ41" s="37">
        <f t="shared" si="28"/>
        <v>37.293951599318653</v>
      </c>
      <c r="AK41" s="37">
        <f t="shared" si="29"/>
        <v>1.9629994184228616</v>
      </c>
      <c r="AL41" s="37">
        <f t="shared" si="29"/>
        <v>-1.8591786327210258</v>
      </c>
      <c r="AN41" s="37">
        <f t="shared" ref="AN41:AZ41" si="36">+(C41/C$60)*100</f>
        <v>7.9968793815893084</v>
      </c>
      <c r="AO41" s="37">
        <f t="shared" si="36"/>
        <v>7.9684623903532161</v>
      </c>
      <c r="AP41" s="37">
        <f t="shared" si="36"/>
        <v>8.7970556895498238</v>
      </c>
      <c r="AQ41" s="37">
        <f t="shared" si="36"/>
        <v>8.9282545875078547</v>
      </c>
      <c r="AR41" s="37">
        <f t="shared" si="36"/>
        <v>7.461338161889854</v>
      </c>
      <c r="AS41" s="37">
        <f t="shared" si="36"/>
        <v>7.4247052694837734</v>
      </c>
      <c r="AT41" s="37">
        <f t="shared" si="36"/>
        <v>6.8615489211170431</v>
      </c>
      <c r="AU41" s="37">
        <f t="shared" si="36"/>
        <v>7.1719470376154781</v>
      </c>
      <c r="AV41" s="37">
        <f t="shared" si="36"/>
        <v>8.8024470447224612</v>
      </c>
      <c r="AW41" s="37">
        <f t="shared" si="36"/>
        <v>8.2611380644911776</v>
      </c>
      <c r="AX41" s="37">
        <f t="shared" si="36"/>
        <v>8.1767214554252323</v>
      </c>
      <c r="AY41" s="37">
        <f t="shared" si="36"/>
        <v>8.1916589963414346</v>
      </c>
      <c r="AZ41" s="37">
        <f t="shared" si="36"/>
        <v>8.9922281849361916</v>
      </c>
      <c r="BA41" s="79"/>
      <c r="BB41" s="37">
        <f t="shared" si="31"/>
        <v>4.5990450009940842</v>
      </c>
      <c r="BC41" s="37">
        <f t="shared" si="31"/>
        <v>-26.227550342842786</v>
      </c>
      <c r="BD41" s="37">
        <f t="shared" si="31"/>
        <v>40.610751931171492</v>
      </c>
      <c r="BE41" s="37">
        <f t="shared" si="31"/>
        <v>24.754272394242129</v>
      </c>
      <c r="BF41" s="37">
        <f t="shared" si="31"/>
        <v>21.41084750704114</v>
      </c>
    </row>
    <row r="42" spans="1:58" ht="8.5500000000000007" hidden="1" customHeight="1">
      <c r="A42" s="304" t="s">
        <v>13</v>
      </c>
      <c r="B42" s="252">
        <f t="shared" ref="B42:U42" si="37">+B38+B39+B41</f>
        <v>398196.4</v>
      </c>
      <c r="C42" s="252">
        <f t="shared" si="37"/>
        <v>471886.3</v>
      </c>
      <c r="D42" s="252">
        <f t="shared" si="37"/>
        <v>528387.19999999995</v>
      </c>
      <c r="E42" s="252">
        <f t="shared" si="37"/>
        <v>693981.29999999993</v>
      </c>
      <c r="F42" s="252">
        <f t="shared" si="37"/>
        <v>792083.89999999991</v>
      </c>
      <c r="G42" s="252">
        <f t="shared" si="37"/>
        <v>745880.37000000011</v>
      </c>
      <c r="H42" s="252">
        <f t="shared" si="37"/>
        <v>791627.10000000009</v>
      </c>
      <c r="I42" s="252">
        <f t="shared" si="37"/>
        <v>695190.65000000014</v>
      </c>
      <c r="J42" s="252">
        <f t="shared" si="37"/>
        <v>885592.41</v>
      </c>
      <c r="K42" s="252">
        <f t="shared" si="37"/>
        <v>1170621.6600000001</v>
      </c>
      <c r="L42" s="252">
        <f t="shared" si="37"/>
        <v>1097255.43</v>
      </c>
      <c r="M42" s="252">
        <f t="shared" si="37"/>
        <v>1256315.8600000001</v>
      </c>
      <c r="N42" s="252">
        <f t="shared" si="37"/>
        <v>1471169.5899999999</v>
      </c>
      <c r="O42" s="252">
        <f t="shared" si="37"/>
        <v>1893557.2</v>
      </c>
      <c r="P42" s="252">
        <f t="shared" si="37"/>
        <v>2013387.74</v>
      </c>
      <c r="Q42" s="252">
        <f t="shared" si="37"/>
        <v>1923081.6099999999</v>
      </c>
      <c r="R42" s="252">
        <f t="shared" si="37"/>
        <v>2356566.1</v>
      </c>
      <c r="S42" s="252">
        <f t="shared" si="37"/>
        <v>1616440.0293739999</v>
      </c>
      <c r="T42" s="252">
        <f t="shared" si="37"/>
        <v>2356186.1985590002</v>
      </c>
      <c r="U42" s="252">
        <f t="shared" si="37"/>
        <v>2795455.2533470001</v>
      </c>
      <c r="V42" s="252">
        <f>+V38+V39+V41</f>
        <v>3187332.19</v>
      </c>
      <c r="W42" s="39"/>
      <c r="X42" s="40">
        <f t="shared" si="28"/>
        <v>18.505918185096593</v>
      </c>
      <c r="Y42" s="40">
        <f t="shared" si="28"/>
        <v>11.973413934670262</v>
      </c>
      <c r="Z42" s="40">
        <f t="shared" si="28"/>
        <v>31.339536612544737</v>
      </c>
      <c r="AA42" s="40">
        <f t="shared" si="28"/>
        <v>14.136202229080229</v>
      </c>
      <c r="AB42" s="40">
        <f t="shared" si="28"/>
        <v>-5.8331611083118577</v>
      </c>
      <c r="AC42" s="40">
        <f t="shared" si="28"/>
        <v>6.1332529772837319</v>
      </c>
      <c r="AD42" s="253">
        <f t="shared" si="28"/>
        <v>-12.18205516208325</v>
      </c>
      <c r="AE42" s="253">
        <f t="shared" si="28"/>
        <v>27.388423592866197</v>
      </c>
      <c r="AF42" s="253">
        <f t="shared" si="28"/>
        <v>32.185150502814274</v>
      </c>
      <c r="AG42" s="253">
        <f t="shared" si="28"/>
        <v>-6.2672879297313022</v>
      </c>
      <c r="AH42" s="253">
        <f t="shared" si="28"/>
        <v>14.496208052486036</v>
      </c>
      <c r="AI42" s="253">
        <f t="shared" si="28"/>
        <v>17.101887896249245</v>
      </c>
      <c r="AJ42" s="253">
        <f t="shared" si="28"/>
        <v>28.711007410097444</v>
      </c>
      <c r="AK42" s="253">
        <f t="shared" si="29"/>
        <v>6.328329558779644</v>
      </c>
      <c r="AL42" s="253">
        <f t="shared" si="29"/>
        <v>-4.4852826013532798</v>
      </c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79"/>
      <c r="BB42" s="253">
        <f t="shared" si="31"/>
        <v>22.541138542737158</v>
      </c>
      <c r="BC42" s="253">
        <f t="shared" si="31"/>
        <v>-31.406972655084875</v>
      </c>
      <c r="BD42" s="253">
        <f t="shared" si="31"/>
        <v>45.763910552962628</v>
      </c>
      <c r="BE42" s="253">
        <f t="shared" si="31"/>
        <v>18.643223318116743</v>
      </c>
      <c r="BF42" s="37">
        <f t="shared" si="31"/>
        <v>14.018358411704334</v>
      </c>
    </row>
    <row r="43" spans="1:58" ht="11.7" customHeight="1">
      <c r="A43" s="82" t="s">
        <v>14</v>
      </c>
      <c r="B43" s="34">
        <v>98132</v>
      </c>
      <c r="C43" s="34">
        <v>95235.9</v>
      </c>
      <c r="D43" s="34">
        <v>122235.9</v>
      </c>
      <c r="E43" s="34">
        <v>151487.6</v>
      </c>
      <c r="F43" s="34">
        <v>146105.9</v>
      </c>
      <c r="G43" s="34">
        <v>151907.87</v>
      </c>
      <c r="H43" s="34">
        <v>153724.1</v>
      </c>
      <c r="I43" s="34">
        <v>171729.09</v>
      </c>
      <c r="J43" s="34">
        <v>214871.75</v>
      </c>
      <c r="K43" s="34">
        <v>221772.62</v>
      </c>
      <c r="L43" s="34">
        <v>228371.66</v>
      </c>
      <c r="M43" s="34">
        <v>245204.65</v>
      </c>
      <c r="N43" s="34">
        <v>331687.88</v>
      </c>
      <c r="O43" s="34">
        <v>442125.95</v>
      </c>
      <c r="P43" s="34">
        <v>436907.59</v>
      </c>
      <c r="Q43" s="34">
        <v>415569.29</v>
      </c>
      <c r="R43" s="105">
        <v>518669.19</v>
      </c>
      <c r="S43" s="34">
        <v>394124.207712</v>
      </c>
      <c r="T43" s="34">
        <v>510526.45</v>
      </c>
      <c r="U43" s="34">
        <v>602889.35072600003</v>
      </c>
      <c r="V43" s="266">
        <v>641205.62</v>
      </c>
      <c r="W43" s="35"/>
      <c r="X43" s="36">
        <f t="shared" si="28"/>
        <v>-2.9512289569151862</v>
      </c>
      <c r="Y43" s="36">
        <f t="shared" si="28"/>
        <v>28.350653482562784</v>
      </c>
      <c r="Z43" s="36">
        <f t="shared" si="28"/>
        <v>23.930531046934679</v>
      </c>
      <c r="AA43" s="36">
        <f t="shared" si="28"/>
        <v>-3.5525679989649395</v>
      </c>
      <c r="AB43" s="36">
        <f t="shared" si="28"/>
        <v>3.9710716678792668</v>
      </c>
      <c r="AC43" s="36">
        <f t="shared" si="28"/>
        <v>1.1956128408620481</v>
      </c>
      <c r="AD43" s="37">
        <f t="shared" si="28"/>
        <v>11.712535640150112</v>
      </c>
      <c r="AE43" s="37">
        <f t="shared" si="28"/>
        <v>25.122511276336468</v>
      </c>
      <c r="AF43" s="37">
        <f t="shared" si="28"/>
        <v>3.2116227470572634</v>
      </c>
      <c r="AG43" s="37">
        <f t="shared" si="28"/>
        <v>2.9755882398828204</v>
      </c>
      <c r="AH43" s="37">
        <f t="shared" si="28"/>
        <v>7.3708751777694204</v>
      </c>
      <c r="AI43" s="37">
        <f t="shared" si="28"/>
        <v>35.269816457395905</v>
      </c>
      <c r="AJ43" s="37">
        <f t="shared" si="28"/>
        <v>33.295780961306164</v>
      </c>
      <c r="AK43" s="37">
        <f t="shared" si="29"/>
        <v>-1.1802881056857228</v>
      </c>
      <c r="AL43" s="37">
        <f t="shared" si="29"/>
        <v>-4.8839389583504538</v>
      </c>
      <c r="AN43" s="37">
        <f t="shared" ref="AN43:AZ46" si="38">+(C43/C$60)*100</f>
        <v>8.1351938820434935</v>
      </c>
      <c r="AO43" s="37">
        <f t="shared" si="38"/>
        <v>8.9271478237448481</v>
      </c>
      <c r="AP43" s="37">
        <f t="shared" si="38"/>
        <v>8.589723060536933</v>
      </c>
      <c r="AQ43" s="37">
        <f t="shared" si="38"/>
        <v>7.9716221710613748</v>
      </c>
      <c r="AR43" s="37">
        <f t="shared" si="38"/>
        <v>7.8943397523064327</v>
      </c>
      <c r="AS43" s="37">
        <f t="shared" si="38"/>
        <v>8.6650703566120235</v>
      </c>
      <c r="AT43" s="37">
        <f t="shared" si="38"/>
        <v>9.0033519545513023</v>
      </c>
      <c r="AU43" s="37">
        <f t="shared" si="38"/>
        <v>8.6150873010521725</v>
      </c>
      <c r="AV43" s="37">
        <f t="shared" si="38"/>
        <v>8.0675051697066067</v>
      </c>
      <c r="AW43" s="37">
        <f t="shared" si="38"/>
        <v>8.229929283773636</v>
      </c>
      <c r="AX43" s="37">
        <f t="shared" si="38"/>
        <v>7.8121108405233146</v>
      </c>
      <c r="AY43" s="37">
        <f t="shared" si="38"/>
        <v>8.7261792351412524</v>
      </c>
      <c r="AZ43" s="37">
        <f t="shared" si="38"/>
        <v>9.3000349640597157</v>
      </c>
      <c r="BA43" s="79"/>
      <c r="BB43" s="37">
        <f t="shared" si="31"/>
        <v>24.809316395828972</v>
      </c>
      <c r="BC43" s="37">
        <f t="shared" si="31"/>
        <v>-24.012411897456253</v>
      </c>
      <c r="BD43" s="37">
        <f t="shared" si="31"/>
        <v>29.534405654437524</v>
      </c>
      <c r="BE43" s="37">
        <f t="shared" si="31"/>
        <v>18.091697447997056</v>
      </c>
      <c r="BF43" s="37">
        <f t="shared" si="31"/>
        <v>6.3554397217100433</v>
      </c>
    </row>
    <row r="44" spans="1:58" ht="11.7" customHeight="1">
      <c r="A44" s="84" t="s">
        <v>15</v>
      </c>
      <c r="B44" s="38">
        <f t="shared" ref="B44:V44" si="39">+B39+B41+B43</f>
        <v>257538.7</v>
      </c>
      <c r="C44" s="38">
        <f t="shared" si="39"/>
        <v>288350.69999999995</v>
      </c>
      <c r="D44" s="38">
        <f t="shared" si="39"/>
        <v>335141.19999999995</v>
      </c>
      <c r="E44" s="38">
        <f t="shared" si="39"/>
        <v>433721.1</v>
      </c>
      <c r="F44" s="38">
        <f t="shared" si="39"/>
        <v>470200.9</v>
      </c>
      <c r="G44" s="38">
        <f t="shared" si="39"/>
        <v>445625.47</v>
      </c>
      <c r="H44" s="38">
        <f t="shared" si="39"/>
        <v>429408.36</v>
      </c>
      <c r="I44" s="38">
        <f t="shared" si="39"/>
        <v>443915.07999999996</v>
      </c>
      <c r="J44" s="38">
        <f t="shared" si="39"/>
        <v>574404.42000000004</v>
      </c>
      <c r="K44" s="38">
        <f t="shared" si="39"/>
        <v>683116.28</v>
      </c>
      <c r="L44" s="38">
        <f t="shared" si="39"/>
        <v>682343.1</v>
      </c>
      <c r="M44" s="38">
        <f t="shared" si="39"/>
        <v>751069.46</v>
      </c>
      <c r="N44" s="38">
        <f t="shared" si="39"/>
        <v>941049.2</v>
      </c>
      <c r="O44" s="38">
        <f t="shared" si="39"/>
        <v>1246133.58</v>
      </c>
      <c r="P44" s="38">
        <f t="shared" si="39"/>
        <v>1253216.3</v>
      </c>
      <c r="Q44" s="38">
        <f t="shared" si="39"/>
        <v>1220278.25</v>
      </c>
      <c r="R44" s="38">
        <f t="shared" si="39"/>
        <v>1450875.43</v>
      </c>
      <c r="S44" s="38">
        <f t="shared" si="39"/>
        <v>1073686.758158</v>
      </c>
      <c r="T44" s="252">
        <f t="shared" si="39"/>
        <v>1446925.191787</v>
      </c>
      <c r="U44" s="252">
        <f t="shared" si="39"/>
        <v>1739976.6858359999</v>
      </c>
      <c r="V44" s="252">
        <f t="shared" si="39"/>
        <v>1955244.4700000002</v>
      </c>
      <c r="W44" s="39"/>
      <c r="X44" s="40">
        <f t="shared" si="28"/>
        <v>11.96402715397722</v>
      </c>
      <c r="Y44" s="40">
        <f t="shared" si="28"/>
        <v>16.226941706748079</v>
      </c>
      <c r="Z44" s="40">
        <f t="shared" si="28"/>
        <v>29.414437854850451</v>
      </c>
      <c r="AA44" s="40">
        <f t="shared" si="28"/>
        <v>8.4108889330032799</v>
      </c>
      <c r="AB44" s="40">
        <f t="shared" si="28"/>
        <v>-5.2265808083310823</v>
      </c>
      <c r="AC44" s="40">
        <f t="shared" si="28"/>
        <v>-3.6391793314686449</v>
      </c>
      <c r="AD44" s="253">
        <f t="shared" si="28"/>
        <v>3.37830404606001</v>
      </c>
      <c r="AE44" s="253">
        <f t="shared" si="28"/>
        <v>29.395113137404593</v>
      </c>
      <c r="AF44" s="253">
        <f t="shared" si="28"/>
        <v>18.926013835339205</v>
      </c>
      <c r="AG44" s="253">
        <f t="shared" si="28"/>
        <v>-0.11318424441590924</v>
      </c>
      <c r="AH44" s="253">
        <f t="shared" si="28"/>
        <v>10.072111815888519</v>
      </c>
      <c r="AI44" s="253">
        <f t="shared" si="28"/>
        <v>25.294563301775042</v>
      </c>
      <c r="AJ44" s="253">
        <f t="shared" si="28"/>
        <v>32.419599315317441</v>
      </c>
      <c r="AK44" s="253">
        <f t="shared" si="29"/>
        <v>0.56837566322545108</v>
      </c>
      <c r="AL44" s="253">
        <f t="shared" si="29"/>
        <v>-2.6282813270143479</v>
      </c>
      <c r="AN44" s="37">
        <f t="shared" si="38"/>
        <v>24.631350683124314</v>
      </c>
      <c r="AO44" s="37">
        <f t="shared" si="38"/>
        <v>24.47607482112241</v>
      </c>
      <c r="AP44" s="37">
        <f t="shared" si="38"/>
        <v>24.59306329040426</v>
      </c>
      <c r="AQ44" s="37">
        <f t="shared" si="38"/>
        <v>25.65443229392525</v>
      </c>
      <c r="AR44" s="37">
        <f t="shared" si="38"/>
        <v>23.158239678176237</v>
      </c>
      <c r="AS44" s="37">
        <f t="shared" si="38"/>
        <v>24.204751571922582</v>
      </c>
      <c r="AT44" s="37">
        <f t="shared" si="38"/>
        <v>23.273422709995128</v>
      </c>
      <c r="AU44" s="37">
        <f t="shared" si="38"/>
        <v>23.030222560249261</v>
      </c>
      <c r="AV44" s="37">
        <f t="shared" si="38"/>
        <v>24.849975260294737</v>
      </c>
      <c r="AW44" s="37">
        <f t="shared" si="38"/>
        <v>24.589896400765674</v>
      </c>
      <c r="AX44" s="37">
        <f t="shared" si="38"/>
        <v>23.928738180340346</v>
      </c>
      <c r="AY44" s="37">
        <f t="shared" si="38"/>
        <v>24.757503916894063</v>
      </c>
      <c r="AZ44" s="37">
        <f t="shared" si="38"/>
        <v>26.212181989971196</v>
      </c>
      <c r="BA44" s="79"/>
      <c r="BB44" s="253">
        <f t="shared" si="31"/>
        <v>18.89709826426882</v>
      </c>
      <c r="BC44" s="253">
        <f t="shared" si="31"/>
        <v>-25.997316106042266</v>
      </c>
      <c r="BD44" s="253">
        <f t="shared" si="31"/>
        <v>34.762320648279399</v>
      </c>
      <c r="BE44" s="253">
        <f t="shared" si="31"/>
        <v>20.253396354725961</v>
      </c>
      <c r="BF44" s="253">
        <f t="shared" si="31"/>
        <v>12.371877503667328</v>
      </c>
    </row>
    <row r="45" spans="1:58" ht="11.7" customHeight="1">
      <c r="A45" s="84" t="s">
        <v>16</v>
      </c>
      <c r="B45" s="38">
        <f t="shared" ref="B45:N45" si="40">+B38+B39+B41+B43</f>
        <v>496328.4</v>
      </c>
      <c r="C45" s="38">
        <f t="shared" si="40"/>
        <v>567122.19999999995</v>
      </c>
      <c r="D45" s="38">
        <f t="shared" si="40"/>
        <v>650623.1</v>
      </c>
      <c r="E45" s="38">
        <f t="shared" si="40"/>
        <v>845468.89999999991</v>
      </c>
      <c r="F45" s="38">
        <f t="shared" si="40"/>
        <v>938189.79999999993</v>
      </c>
      <c r="G45" s="38">
        <f t="shared" si="40"/>
        <v>897788.24000000011</v>
      </c>
      <c r="H45" s="38">
        <f t="shared" si="40"/>
        <v>945351.20000000007</v>
      </c>
      <c r="I45" s="38">
        <f t="shared" si="40"/>
        <v>866919.74000000011</v>
      </c>
      <c r="J45" s="38">
        <f t="shared" si="40"/>
        <v>1100464.1600000001</v>
      </c>
      <c r="K45" s="38">
        <f t="shared" si="40"/>
        <v>1392394.2800000003</v>
      </c>
      <c r="L45" s="38">
        <f t="shared" si="40"/>
        <v>1325627.0899999999</v>
      </c>
      <c r="M45" s="38">
        <f t="shared" si="40"/>
        <v>1501520.51</v>
      </c>
      <c r="N45" s="38">
        <f t="shared" si="40"/>
        <v>1802857.4699999997</v>
      </c>
      <c r="O45" s="38">
        <f>+O44+O38</f>
        <v>2335683.15</v>
      </c>
      <c r="P45" s="38">
        <f>+P44+P38</f>
        <v>2450295.33</v>
      </c>
      <c r="Q45" s="38">
        <f>+Q44+Q38</f>
        <v>2338650.9</v>
      </c>
      <c r="R45" s="38">
        <f>+R44+R38</f>
        <v>2875235.29</v>
      </c>
      <c r="S45" s="38">
        <f>+S38+S39+S41+S43</f>
        <v>2010564.2370859999</v>
      </c>
      <c r="T45" s="252">
        <f>+T38+T39+T41+T43</f>
        <v>2866712.6485590003</v>
      </c>
      <c r="U45" s="252">
        <f>+U38+U39+U41+U43</f>
        <v>3398344.6040730001</v>
      </c>
      <c r="V45" s="252">
        <f>+V38+V39+V41+V43</f>
        <v>3828537.81</v>
      </c>
      <c r="W45" s="39"/>
      <c r="X45" s="40">
        <f t="shared" si="28"/>
        <v>14.263499731226336</v>
      </c>
      <c r="Y45" s="40">
        <f t="shared" si="28"/>
        <v>14.723616885390832</v>
      </c>
      <c r="Z45" s="40">
        <f t="shared" si="28"/>
        <v>29.947568722967244</v>
      </c>
      <c r="AA45" s="40">
        <f t="shared" si="28"/>
        <v>10.966801972254681</v>
      </c>
      <c r="AB45" s="40">
        <f t="shared" si="28"/>
        <v>-4.3063311922598047</v>
      </c>
      <c r="AC45" s="40">
        <f t="shared" si="28"/>
        <v>5.2977927178016859</v>
      </c>
      <c r="AD45" s="253">
        <f t="shared" si="28"/>
        <v>-8.2965420681752953</v>
      </c>
      <c r="AE45" s="253">
        <f t="shared" si="28"/>
        <v>26.939566516272894</v>
      </c>
      <c r="AF45" s="253">
        <f t="shared" si="28"/>
        <v>26.527908005654631</v>
      </c>
      <c r="AG45" s="253">
        <f t="shared" si="28"/>
        <v>-4.7951353261807661</v>
      </c>
      <c r="AH45" s="253">
        <f t="shared" si="28"/>
        <v>13.268695346290805</v>
      </c>
      <c r="AI45" s="253">
        <f t="shared" si="28"/>
        <v>20.06878747197398</v>
      </c>
      <c r="AJ45" s="253">
        <f t="shared" si="28"/>
        <v>29.554509375608063</v>
      </c>
      <c r="AK45" s="253">
        <f t="shared" si="29"/>
        <v>4.9070088980176951</v>
      </c>
      <c r="AL45" s="253">
        <f t="shared" si="29"/>
        <v>-4.5563662727953762</v>
      </c>
      <c r="AN45" s="37">
        <f t="shared" si="38"/>
        <v>48.444431688166404</v>
      </c>
      <c r="AO45" s="37">
        <f t="shared" si="38"/>
        <v>47.516389139713681</v>
      </c>
      <c r="AP45" s="37">
        <f t="shared" si="38"/>
        <v>47.940185911564988</v>
      </c>
      <c r="AQ45" s="37">
        <f t="shared" si="38"/>
        <v>51.188176592072175</v>
      </c>
      <c r="AR45" s="37">
        <f t="shared" si="38"/>
        <v>46.656209399718591</v>
      </c>
      <c r="AS45" s="37">
        <f t="shared" si="38"/>
        <v>53.287250728464855</v>
      </c>
      <c r="AT45" s="37">
        <f t="shared" si="38"/>
        <v>45.450561320554996</v>
      </c>
      <c r="AU45" s="37">
        <f t="shared" si="38"/>
        <v>44.122109165486144</v>
      </c>
      <c r="AV45" s="37">
        <f t="shared" si="38"/>
        <v>50.651645149748028</v>
      </c>
      <c r="AW45" s="37">
        <f t="shared" si="38"/>
        <v>47.772202590087701</v>
      </c>
      <c r="AX45" s="37">
        <f t="shared" si="38"/>
        <v>47.837774093758405</v>
      </c>
      <c r="AY45" s="37">
        <f t="shared" si="38"/>
        <v>47.430305317858739</v>
      </c>
      <c r="AZ45" s="37">
        <f t="shared" si="38"/>
        <v>49.130649218769292</v>
      </c>
      <c r="BA45" s="79"/>
      <c r="BB45" s="253">
        <f t="shared" si="31"/>
        <v>22.94418504275264</v>
      </c>
      <c r="BC45" s="253">
        <f t="shared" si="31"/>
        <v>-30.073053705249986</v>
      </c>
      <c r="BD45" s="253">
        <f t="shared" si="31"/>
        <v>42.582494788321434</v>
      </c>
      <c r="BE45" s="253">
        <f t="shared" si="31"/>
        <v>18.545003308274843</v>
      </c>
      <c r="BF45" s="253">
        <f t="shared" si="31"/>
        <v>12.658904732951527</v>
      </c>
    </row>
    <row r="46" spans="1:58" ht="11.7" customHeight="1">
      <c r="A46" s="82" t="s">
        <v>17</v>
      </c>
      <c r="B46" s="34">
        <v>92068.9</v>
      </c>
      <c r="C46" s="34">
        <v>98822.9</v>
      </c>
      <c r="D46" s="34">
        <v>111298.6</v>
      </c>
      <c r="E46" s="34">
        <v>151950.6</v>
      </c>
      <c r="F46" s="34">
        <v>154103</v>
      </c>
      <c r="G46" s="34">
        <v>163420.07</v>
      </c>
      <c r="H46" s="34">
        <v>153600.66</v>
      </c>
      <c r="I46" s="34">
        <v>147645.51</v>
      </c>
      <c r="J46" s="34">
        <v>206478.78</v>
      </c>
      <c r="K46" s="34">
        <v>247691.97</v>
      </c>
      <c r="L46" s="34">
        <v>243941.48</v>
      </c>
      <c r="M46" s="34">
        <v>269891.40000000002</v>
      </c>
      <c r="N46" s="34">
        <v>327615.86</v>
      </c>
      <c r="O46" s="34">
        <v>395482.93</v>
      </c>
      <c r="P46" s="34">
        <v>435446.4</v>
      </c>
      <c r="Q46" s="34">
        <v>402815.07</v>
      </c>
      <c r="R46" s="105">
        <v>604866.01</v>
      </c>
      <c r="S46" s="34">
        <v>416051.13105199998</v>
      </c>
      <c r="T46" s="34">
        <v>536355.14</v>
      </c>
      <c r="U46" s="34">
        <v>574342.30000000005</v>
      </c>
      <c r="V46" s="34">
        <v>673541.19</v>
      </c>
      <c r="W46" s="41"/>
      <c r="X46" s="36">
        <f t="shared" si="28"/>
        <v>7.3358104636853438</v>
      </c>
      <c r="Y46" s="36">
        <f t="shared" si="28"/>
        <v>12.624300642867192</v>
      </c>
      <c r="Z46" s="36">
        <f t="shared" si="28"/>
        <v>36.525167432474447</v>
      </c>
      <c r="AA46" s="36">
        <f t="shared" si="28"/>
        <v>1.4165129983033875</v>
      </c>
      <c r="AB46" s="36">
        <f t="shared" si="28"/>
        <v>6.0460017001615851</v>
      </c>
      <c r="AC46" s="36">
        <f t="shared" si="28"/>
        <v>-6.0086928123332717</v>
      </c>
      <c r="AD46" s="37">
        <f t="shared" si="28"/>
        <v>-3.8770341221190052</v>
      </c>
      <c r="AE46" s="37">
        <f t="shared" si="28"/>
        <v>39.847652664818575</v>
      </c>
      <c r="AF46" s="37">
        <f t="shared" si="28"/>
        <v>19.96001235574909</v>
      </c>
      <c r="AG46" s="37">
        <f t="shared" si="28"/>
        <v>-1.5141750457231207</v>
      </c>
      <c r="AH46" s="37">
        <f t="shared" si="28"/>
        <v>10.637764434322538</v>
      </c>
      <c r="AI46" s="37">
        <f t="shared" si="28"/>
        <v>21.388032371539055</v>
      </c>
      <c r="AJ46" s="37">
        <f t="shared" si="28"/>
        <v>20.715440943548955</v>
      </c>
      <c r="AK46" s="37">
        <f t="shared" si="29"/>
        <v>10.104979752223443</v>
      </c>
      <c r="AL46" s="37">
        <f t="shared" si="29"/>
        <v>-7.4937650190700866</v>
      </c>
      <c r="AN46" s="37">
        <f t="shared" si="38"/>
        <v>8.4416008194997474</v>
      </c>
      <c r="AO46" s="37">
        <f t="shared" si="38"/>
        <v>8.1283735365457161</v>
      </c>
      <c r="AP46" s="37">
        <f t="shared" si="38"/>
        <v>8.6159763101562312</v>
      </c>
      <c r="AQ46" s="37">
        <f t="shared" si="38"/>
        <v>8.4079485594152672</v>
      </c>
      <c r="AR46" s="37">
        <f t="shared" si="38"/>
        <v>8.4926051226029315</v>
      </c>
      <c r="AS46" s="37">
        <f t="shared" si="38"/>
        <v>8.6581123306107628</v>
      </c>
      <c r="AT46" s="37">
        <f t="shared" si="38"/>
        <v>7.7407065456366411</v>
      </c>
      <c r="AU46" s="37">
        <f t="shared" si="38"/>
        <v>8.2785788057980891</v>
      </c>
      <c r="AV46" s="37">
        <f t="shared" si="38"/>
        <v>9.0103830151342112</v>
      </c>
      <c r="AW46" s="37">
        <f t="shared" si="38"/>
        <v>8.7910256893481495</v>
      </c>
      <c r="AX46" s="37">
        <f t="shared" si="38"/>
        <v>8.5986196905483414</v>
      </c>
      <c r="AY46" s="37">
        <f t="shared" si="38"/>
        <v>8.6190508819162872</v>
      </c>
      <c r="AZ46" s="37">
        <f t="shared" si="38"/>
        <v>8.3189079417048042</v>
      </c>
      <c r="BA46" s="79"/>
      <c r="BB46" s="37">
        <f t="shared" si="31"/>
        <v>50.159727142283913</v>
      </c>
      <c r="BC46" s="37">
        <f t="shared" si="31"/>
        <v>-31.215984338085057</v>
      </c>
      <c r="BD46" s="37">
        <f t="shared" si="31"/>
        <v>28.915678859905292</v>
      </c>
      <c r="BE46" s="37">
        <f t="shared" si="31"/>
        <v>7.0824640554390861</v>
      </c>
      <c r="BF46" s="37">
        <f t="shared" si="31"/>
        <v>17.271736732607003</v>
      </c>
    </row>
    <row r="47" spans="1:58" ht="8.5500000000000007" hidden="1" customHeight="1">
      <c r="A47" s="305" t="s">
        <v>19</v>
      </c>
      <c r="B47" s="252">
        <f t="shared" ref="B47:U47" si="41">+B45+B46</f>
        <v>588397.30000000005</v>
      </c>
      <c r="C47" s="252">
        <f t="shared" si="41"/>
        <v>665945.1</v>
      </c>
      <c r="D47" s="252">
        <f t="shared" si="41"/>
        <v>761921.7</v>
      </c>
      <c r="E47" s="252">
        <f t="shared" si="41"/>
        <v>997419.49999999988</v>
      </c>
      <c r="F47" s="252">
        <f t="shared" si="41"/>
        <v>1092292.7999999998</v>
      </c>
      <c r="G47" s="252">
        <f t="shared" si="41"/>
        <v>1061208.31</v>
      </c>
      <c r="H47" s="252">
        <f t="shared" si="41"/>
        <v>1098951.8600000001</v>
      </c>
      <c r="I47" s="252">
        <f t="shared" si="41"/>
        <v>1014565.2500000001</v>
      </c>
      <c r="J47" s="252">
        <f t="shared" si="41"/>
        <v>1306942.9400000002</v>
      </c>
      <c r="K47" s="252">
        <f t="shared" si="41"/>
        <v>1640086.2500000002</v>
      </c>
      <c r="L47" s="252">
        <f t="shared" si="41"/>
        <v>1569568.5699999998</v>
      </c>
      <c r="M47" s="252">
        <f t="shared" si="41"/>
        <v>1771411.9100000001</v>
      </c>
      <c r="N47" s="252">
        <f t="shared" si="41"/>
        <v>2130473.3299999996</v>
      </c>
      <c r="O47" s="252">
        <f t="shared" si="41"/>
        <v>2731166.08</v>
      </c>
      <c r="P47" s="252">
        <f t="shared" si="41"/>
        <v>2885741.73</v>
      </c>
      <c r="Q47" s="252">
        <f t="shared" si="41"/>
        <v>2741465.9699999997</v>
      </c>
      <c r="R47" s="252">
        <f t="shared" si="41"/>
        <v>3480101.3</v>
      </c>
      <c r="S47" s="252">
        <f t="shared" si="41"/>
        <v>2426615.3681379999</v>
      </c>
      <c r="T47" s="252">
        <f t="shared" si="41"/>
        <v>3403067.7885590005</v>
      </c>
      <c r="U47" s="252">
        <f t="shared" si="41"/>
        <v>3972686.904073</v>
      </c>
      <c r="V47" s="252">
        <f>+V45+V46</f>
        <v>4502079</v>
      </c>
      <c r="W47" s="39"/>
      <c r="X47" s="40">
        <f t="shared" si="28"/>
        <v>13.179496234941922</v>
      </c>
      <c r="Y47" s="40">
        <f t="shared" si="28"/>
        <v>14.412088924447364</v>
      </c>
      <c r="Z47" s="40">
        <f t="shared" si="28"/>
        <v>30.90839911765211</v>
      </c>
      <c r="AA47" s="40">
        <f t="shared" si="28"/>
        <v>9.5118753944553944</v>
      </c>
      <c r="AB47" s="40">
        <f t="shared" si="28"/>
        <v>-2.8458019681169566</v>
      </c>
      <c r="AC47" s="40">
        <f t="shared" si="28"/>
        <v>3.5566579760386574</v>
      </c>
      <c r="AD47" s="253">
        <f t="shared" si="28"/>
        <v>-7.6788268050249293</v>
      </c>
      <c r="AE47" s="253">
        <f t="shared" si="28"/>
        <v>28.818027228904207</v>
      </c>
      <c r="AF47" s="253">
        <f t="shared" si="28"/>
        <v>25.490271977749845</v>
      </c>
      <c r="AG47" s="253">
        <f t="shared" si="28"/>
        <v>-4.2996324126246659</v>
      </c>
      <c r="AH47" s="253">
        <f t="shared" si="28"/>
        <v>12.85979751747961</v>
      </c>
      <c r="AI47" s="253">
        <f t="shared" si="28"/>
        <v>20.269786940746016</v>
      </c>
      <c r="AJ47" s="253">
        <f t="shared" si="28"/>
        <v>28.195271986812465</v>
      </c>
      <c r="AK47" s="253">
        <f t="shared" si="29"/>
        <v>5.6596942650957383</v>
      </c>
      <c r="AL47" s="253">
        <f t="shared" si="29"/>
        <v>-4.9996075012575751</v>
      </c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79"/>
      <c r="BB47" s="253">
        <f t="shared" si="31"/>
        <v>26.943078560263878</v>
      </c>
      <c r="BC47" s="306">
        <f t="shared" si="31"/>
        <v>-30.271703063988397</v>
      </c>
      <c r="BD47" s="253">
        <f t="shared" si="31"/>
        <v>40.239274556736035</v>
      </c>
      <c r="BE47" s="253">
        <f t="shared" si="31"/>
        <v>16.738400493491202</v>
      </c>
      <c r="BF47" s="37">
        <f t="shared" si="31"/>
        <v>13.325794574554584</v>
      </c>
    </row>
    <row r="48" spans="1:58" ht="11.7" customHeight="1">
      <c r="A48" s="82" t="s">
        <v>20</v>
      </c>
      <c r="B48" s="34">
        <v>89248.1</v>
      </c>
      <c r="C48" s="34">
        <v>93554.2</v>
      </c>
      <c r="D48" s="34">
        <v>119504.5</v>
      </c>
      <c r="E48" s="34">
        <v>157913.29999999999</v>
      </c>
      <c r="F48" s="34">
        <v>157900.5</v>
      </c>
      <c r="G48" s="34">
        <v>161577.60000000001</v>
      </c>
      <c r="H48" s="34">
        <v>140006.32</v>
      </c>
      <c r="I48" s="34">
        <v>157483.12259499999</v>
      </c>
      <c r="J48" s="34">
        <v>235187.85</v>
      </c>
      <c r="K48" s="34">
        <v>234166.82</v>
      </c>
      <c r="L48" s="34">
        <v>244223.89</v>
      </c>
      <c r="M48" s="43">
        <v>263421.87</v>
      </c>
      <c r="N48" s="43">
        <v>342273.34</v>
      </c>
      <c r="O48" s="43">
        <v>426870.97</v>
      </c>
      <c r="P48" s="43">
        <v>440154.2</v>
      </c>
      <c r="Q48" s="34">
        <v>442672.83</v>
      </c>
      <c r="R48" s="105">
        <v>558418.97</v>
      </c>
      <c r="S48" s="34">
        <v>382636.87667500001</v>
      </c>
      <c r="T48" s="34">
        <v>512519.81</v>
      </c>
      <c r="U48" s="34">
        <v>684925.68340700003</v>
      </c>
      <c r="V48" s="34">
        <v>661224.03</v>
      </c>
      <c r="W48" s="41"/>
      <c r="X48" s="36">
        <f t="shared" si="28"/>
        <v>4.8248646189666733</v>
      </c>
      <c r="Y48" s="36">
        <f t="shared" si="28"/>
        <v>27.738252264462737</v>
      </c>
      <c r="Z48" s="36">
        <f t="shared" si="28"/>
        <v>32.140044935546342</v>
      </c>
      <c r="AA48" s="36">
        <f t="shared" si="28"/>
        <v>-8.1057137049200811E-3</v>
      </c>
      <c r="AB48" s="36">
        <f t="shared" si="28"/>
        <v>2.3287450008074639</v>
      </c>
      <c r="AC48" s="36">
        <f t="shared" si="28"/>
        <v>-13.350414908997287</v>
      </c>
      <c r="AD48" s="37">
        <f t="shared" si="28"/>
        <v>12.482866912722223</v>
      </c>
      <c r="AE48" s="37">
        <f t="shared" si="28"/>
        <v>49.341622216136514</v>
      </c>
      <c r="AF48" s="37">
        <f t="shared" si="28"/>
        <v>-0.43413382111363585</v>
      </c>
      <c r="AG48" s="37">
        <f t="shared" si="28"/>
        <v>4.2948313514271641</v>
      </c>
      <c r="AH48" s="37">
        <f t="shared" si="28"/>
        <v>7.8608116511451831</v>
      </c>
      <c r="AI48" s="37">
        <f t="shared" si="28"/>
        <v>29.933532094354966</v>
      </c>
      <c r="AJ48" s="37">
        <f t="shared" si="28"/>
        <v>24.716394797210882</v>
      </c>
      <c r="AK48" s="37">
        <f t="shared" si="29"/>
        <v>3.1117670053787183</v>
      </c>
      <c r="AL48" s="37">
        <f t="shared" si="29"/>
        <v>0.57221537361225039</v>
      </c>
      <c r="AN48" s="37">
        <f t="shared" ref="AN48:AZ48" si="42">+(C48/C$60)*100</f>
        <v>7.9915405375438624</v>
      </c>
      <c r="AO48" s="37">
        <f t="shared" si="42"/>
        <v>8.7276678709177595</v>
      </c>
      <c r="AP48" s="37">
        <f t="shared" si="42"/>
        <v>8.9540762054154044</v>
      </c>
      <c r="AQ48" s="37">
        <f t="shared" si="42"/>
        <v>8.6151423496359616</v>
      </c>
      <c r="AR48" s="37">
        <f t="shared" si="42"/>
        <v>8.3968557439602556</v>
      </c>
      <c r="AS48" s="37">
        <f t="shared" si="42"/>
        <v>7.8918309697070086</v>
      </c>
      <c r="AT48" s="37">
        <f t="shared" si="42"/>
        <v>8.2564694171764117</v>
      </c>
      <c r="AU48" s="37">
        <f t="shared" si="42"/>
        <v>9.4296428446120224</v>
      </c>
      <c r="AV48" s="37">
        <f t="shared" si="42"/>
        <v>8.5183735978037163</v>
      </c>
      <c r="AW48" s="37">
        <f t="shared" si="42"/>
        <v>8.8012030218990898</v>
      </c>
      <c r="AX48" s="37">
        <f t="shared" si="42"/>
        <v>8.3925033487657075</v>
      </c>
      <c r="AY48" s="37">
        <f t="shared" si="42"/>
        <v>9.0046658088635692</v>
      </c>
      <c r="AZ48" s="37">
        <f t="shared" si="42"/>
        <v>8.9791493716713209</v>
      </c>
      <c r="BA48" s="79"/>
      <c r="BB48" s="37">
        <f t="shared" si="31"/>
        <v>26.147107334326325</v>
      </c>
      <c r="BC48" s="37">
        <f t="shared" si="31"/>
        <v>-31.478531849482117</v>
      </c>
      <c r="BD48" s="37">
        <f t="shared" si="31"/>
        <v>33.944175598976202</v>
      </c>
      <c r="BE48" s="37">
        <f t="shared" si="31"/>
        <v>33.638870155477505</v>
      </c>
      <c r="BF48" s="37">
        <f t="shared" si="31"/>
        <v>-3.4604708191262046</v>
      </c>
    </row>
    <row r="49" spans="1:58" ht="8.5500000000000007" hidden="1" customHeight="1">
      <c r="A49" s="305" t="s">
        <v>21</v>
      </c>
      <c r="B49" s="252">
        <f>B48+B47</f>
        <v>677645.4</v>
      </c>
      <c r="C49" s="252">
        <f t="shared" ref="C49:U49" si="43">C48+C47</f>
        <v>759499.29999999993</v>
      </c>
      <c r="D49" s="252">
        <f t="shared" si="43"/>
        <v>881426.2</v>
      </c>
      <c r="E49" s="252">
        <f t="shared" si="43"/>
        <v>1155332.7999999998</v>
      </c>
      <c r="F49" s="252">
        <f t="shared" si="43"/>
        <v>1250193.2999999998</v>
      </c>
      <c r="G49" s="252">
        <f t="shared" si="43"/>
        <v>1222785.9100000001</v>
      </c>
      <c r="H49" s="252">
        <f t="shared" si="43"/>
        <v>1238958.1800000002</v>
      </c>
      <c r="I49" s="252">
        <f t="shared" si="43"/>
        <v>1172048.3725950001</v>
      </c>
      <c r="J49" s="252">
        <f t="shared" si="43"/>
        <v>1542130.7900000003</v>
      </c>
      <c r="K49" s="252">
        <f t="shared" si="43"/>
        <v>1874253.0700000003</v>
      </c>
      <c r="L49" s="252">
        <f t="shared" si="43"/>
        <v>1813792.46</v>
      </c>
      <c r="M49" s="252">
        <f t="shared" si="43"/>
        <v>2034833.7800000003</v>
      </c>
      <c r="N49" s="252">
        <f t="shared" si="43"/>
        <v>2472746.6699999995</v>
      </c>
      <c r="O49" s="252">
        <f t="shared" si="43"/>
        <v>3158037.05</v>
      </c>
      <c r="P49" s="252">
        <f t="shared" si="43"/>
        <v>3325895.93</v>
      </c>
      <c r="Q49" s="252">
        <f t="shared" si="43"/>
        <v>3184138.8</v>
      </c>
      <c r="R49" s="252">
        <f t="shared" si="43"/>
        <v>4038520.2699999996</v>
      </c>
      <c r="S49" s="252">
        <f t="shared" si="43"/>
        <v>2809252.2448129999</v>
      </c>
      <c r="T49" s="252">
        <f t="shared" si="43"/>
        <v>3915587.5985590005</v>
      </c>
      <c r="U49" s="252">
        <f t="shared" si="43"/>
        <v>4657612.5874800002</v>
      </c>
      <c r="V49" s="252">
        <f>V48+V47</f>
        <v>5163303.03</v>
      </c>
      <c r="W49" s="39"/>
      <c r="X49" s="40"/>
      <c r="Y49" s="40"/>
      <c r="Z49" s="40"/>
      <c r="AA49" s="40"/>
      <c r="AB49" s="40"/>
      <c r="AC49" s="40"/>
      <c r="AD49" s="253"/>
      <c r="AE49" s="253"/>
      <c r="AF49" s="37">
        <f t="shared" si="28"/>
        <v>21.536583158423284</v>
      </c>
      <c r="AG49" s="37">
        <f t="shared" si="28"/>
        <v>-3.2258509252435341</v>
      </c>
      <c r="AH49" s="253">
        <f t="shared" si="28"/>
        <v>12.186693068511278</v>
      </c>
      <c r="AI49" s="253">
        <f t="shared" si="28"/>
        <v>21.520818766828164</v>
      </c>
      <c r="AJ49" s="253">
        <f t="shared" si="28"/>
        <v>27.713731791215011</v>
      </c>
      <c r="AK49" s="253">
        <f t="shared" si="28"/>
        <v>5.3152916619518598</v>
      </c>
      <c r="AL49" s="253">
        <f t="shared" si="29"/>
        <v>-4.2622238633907124</v>
      </c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79"/>
      <c r="BB49" s="253">
        <f t="shared" si="31"/>
        <v>26.832419177204201</v>
      </c>
      <c r="BC49" s="306">
        <f t="shared" si="31"/>
        <v>-30.438575096888144</v>
      </c>
      <c r="BD49" s="253">
        <f t="shared" si="31"/>
        <v>39.381844609672797</v>
      </c>
      <c r="BE49" s="253">
        <f t="shared" si="31"/>
        <v>18.950539867734719</v>
      </c>
      <c r="BF49" s="253">
        <f t="shared" si="31"/>
        <v>10.857288643528062</v>
      </c>
    </row>
    <row r="50" spans="1:58" ht="11.7" customHeight="1">
      <c r="A50" s="82" t="s">
        <v>22</v>
      </c>
      <c r="B50" s="34">
        <v>88984.2</v>
      </c>
      <c r="C50" s="34">
        <v>101516</v>
      </c>
      <c r="D50" s="34">
        <v>117866.3</v>
      </c>
      <c r="E50" s="34">
        <v>137973.70000000001</v>
      </c>
      <c r="F50" s="34">
        <v>141283.79999999999</v>
      </c>
      <c r="G50" s="34">
        <v>175665.49</v>
      </c>
      <c r="H50" s="34">
        <v>139133.81</v>
      </c>
      <c r="I50" s="34">
        <v>172352.8</v>
      </c>
      <c r="J50" s="34">
        <v>220296.06</v>
      </c>
      <c r="K50" s="34">
        <v>227097.48</v>
      </c>
      <c r="L50" s="34">
        <v>232428.32</v>
      </c>
      <c r="M50" s="34">
        <v>264409.71999999997</v>
      </c>
      <c r="N50" s="34">
        <v>333250.34000000003</v>
      </c>
      <c r="O50" s="34">
        <v>398819</v>
      </c>
      <c r="P50" s="34">
        <v>397032.22</v>
      </c>
      <c r="Q50" s="43">
        <v>390635.54</v>
      </c>
      <c r="R50" s="106">
        <v>536449.25</v>
      </c>
      <c r="S50" s="34">
        <v>441644.19177099998</v>
      </c>
      <c r="T50" s="34">
        <v>475324.83</v>
      </c>
      <c r="U50" s="34">
        <v>638400.36018900003</v>
      </c>
      <c r="V50" s="34" t="s">
        <v>34</v>
      </c>
      <c r="W50" s="41"/>
      <c r="X50" s="36">
        <f t="shared" si="28"/>
        <v>14.083174316339321</v>
      </c>
      <c r="Y50" s="36">
        <f t="shared" si="28"/>
        <v>16.106131053232996</v>
      </c>
      <c r="Z50" s="36">
        <f t="shared" si="28"/>
        <v>17.059498771065186</v>
      </c>
      <c r="AA50" s="36">
        <f t="shared" si="28"/>
        <v>2.3990804044538683</v>
      </c>
      <c r="AB50" s="36">
        <f t="shared" si="28"/>
        <v>24.335196250383984</v>
      </c>
      <c r="AC50" s="36">
        <f t="shared" si="28"/>
        <v>-20.796162069169078</v>
      </c>
      <c r="AD50" s="37">
        <f t="shared" si="28"/>
        <v>23.875569856097513</v>
      </c>
      <c r="AE50" s="37">
        <f t="shared" si="28"/>
        <v>27.816931317622927</v>
      </c>
      <c r="AF50" s="37">
        <f t="shared" si="28"/>
        <v>3.0873997474126558</v>
      </c>
      <c r="AG50" s="37">
        <f t="shared" si="28"/>
        <v>2.3473796362689647</v>
      </c>
      <c r="AH50" s="37">
        <f t="shared" si="28"/>
        <v>13.759682985274747</v>
      </c>
      <c r="AI50" s="37">
        <f t="shared" si="28"/>
        <v>26.035585983752817</v>
      </c>
      <c r="AJ50" s="37">
        <f t="shared" si="28"/>
        <v>19.675496805194559</v>
      </c>
      <c r="AK50" s="37">
        <f t="shared" si="28"/>
        <v>-0.44801777247323038</v>
      </c>
      <c r="AL50" s="37">
        <f t="shared" si="28"/>
        <v>-1.6111236513751903</v>
      </c>
      <c r="AN50" s="37">
        <f t="shared" ref="AN50:AZ51" si="44">+(C50/C$60)*100</f>
        <v>8.6716494738804109</v>
      </c>
      <c r="AO50" s="37">
        <f t="shared" si="44"/>
        <v>8.6080266397830556</v>
      </c>
      <c r="AP50" s="37">
        <f t="shared" si="44"/>
        <v>7.8234513758063677</v>
      </c>
      <c r="AQ50" s="37">
        <f t="shared" si="44"/>
        <v>7.7085256138992406</v>
      </c>
      <c r="AR50" s="37">
        <f t="shared" si="44"/>
        <v>9.1289744291417421</v>
      </c>
      <c r="AS50" s="37">
        <f t="shared" si="44"/>
        <v>7.8426496081843347</v>
      </c>
      <c r="AT50" s="37">
        <f t="shared" si="44"/>
        <v>9.036051601696542</v>
      </c>
      <c r="AU50" s="37">
        <f t="shared" si="44"/>
        <v>8.8325700748368625</v>
      </c>
      <c r="AV50" s="37">
        <f t="shared" si="44"/>
        <v>8.2612095845165321</v>
      </c>
      <c r="AW50" s="37">
        <f t="shared" si="44"/>
        <v>8.3761209124911105</v>
      </c>
      <c r="AX50" s="37">
        <f t="shared" si="44"/>
        <v>8.4239758093973105</v>
      </c>
      <c r="AY50" s="37">
        <f t="shared" si="44"/>
        <v>8.7672850663453925</v>
      </c>
      <c r="AZ50" s="37">
        <f t="shared" si="44"/>
        <v>8.3890815373567911</v>
      </c>
      <c r="BA50" s="79"/>
      <c r="BB50" s="37">
        <f t="shared" si="31"/>
        <v>37.327302579790889</v>
      </c>
      <c r="BC50" s="37">
        <f t="shared" si="31"/>
        <v>-17.672698438668711</v>
      </c>
      <c r="BD50" s="37">
        <f t="shared" si="31"/>
        <v>7.6261929527342343</v>
      </c>
      <c r="BE50" s="140">
        <f t="shared" si="31"/>
        <v>34.308228793559969</v>
      </c>
      <c r="BF50" s="140" t="s">
        <v>9</v>
      </c>
    </row>
    <row r="51" spans="1:58" ht="11.7" customHeight="1">
      <c r="A51" s="84" t="s">
        <v>23</v>
      </c>
      <c r="B51" s="38">
        <f t="shared" ref="B51:T51" si="45">+B46+B48+B50</f>
        <v>270301.2</v>
      </c>
      <c r="C51" s="38">
        <f t="shared" si="45"/>
        <v>293893.09999999998</v>
      </c>
      <c r="D51" s="38">
        <f t="shared" si="45"/>
        <v>348669.4</v>
      </c>
      <c r="E51" s="38">
        <f t="shared" si="45"/>
        <v>447837.60000000003</v>
      </c>
      <c r="F51" s="38">
        <f t="shared" si="45"/>
        <v>453287.3</v>
      </c>
      <c r="G51" s="38">
        <f t="shared" si="45"/>
        <v>500663.16000000003</v>
      </c>
      <c r="H51" s="38">
        <f t="shared" si="45"/>
        <v>432740.79</v>
      </c>
      <c r="I51" s="38">
        <f t="shared" si="45"/>
        <v>477481.43259499996</v>
      </c>
      <c r="J51" s="38">
        <f t="shared" si="45"/>
        <v>661962.68999999994</v>
      </c>
      <c r="K51" s="38">
        <f t="shared" si="45"/>
        <v>708956.27</v>
      </c>
      <c r="L51" s="38">
        <f t="shared" si="45"/>
        <v>720593.69</v>
      </c>
      <c r="M51" s="38">
        <f t="shared" si="45"/>
        <v>797722.99</v>
      </c>
      <c r="N51" s="38">
        <f t="shared" si="45"/>
        <v>1003139.54</v>
      </c>
      <c r="O51" s="38">
        <f t="shared" si="45"/>
        <v>1221172.8999999999</v>
      </c>
      <c r="P51" s="38">
        <f t="shared" si="45"/>
        <v>1272632.82</v>
      </c>
      <c r="Q51" s="38">
        <f t="shared" si="45"/>
        <v>1236123.44</v>
      </c>
      <c r="R51" s="38">
        <f t="shared" si="45"/>
        <v>1699734.23</v>
      </c>
      <c r="S51" s="38">
        <f t="shared" si="45"/>
        <v>1240332.1994979999</v>
      </c>
      <c r="T51" s="38">
        <f t="shared" si="45"/>
        <v>1524199.78</v>
      </c>
      <c r="U51" s="38">
        <f>+U46+U48+U50</f>
        <v>1897668.3435960002</v>
      </c>
      <c r="V51" s="38" t="s">
        <v>9</v>
      </c>
      <c r="W51" s="39"/>
      <c r="X51" s="40">
        <f t="shared" si="28"/>
        <v>8.7280041672030961</v>
      </c>
      <c r="Y51" s="40">
        <f t="shared" si="28"/>
        <v>18.638171498412206</v>
      </c>
      <c r="Z51" s="40">
        <f t="shared" si="28"/>
        <v>28.441899403847891</v>
      </c>
      <c r="AA51" s="40">
        <f t="shared" si="28"/>
        <v>1.2168920162130004</v>
      </c>
      <c r="AB51" s="40">
        <f t="shared" si="28"/>
        <v>10.451618653335327</v>
      </c>
      <c r="AC51" s="40">
        <f t="shared" si="28"/>
        <v>-13.56648050557585</v>
      </c>
      <c r="AD51" s="253">
        <f t="shared" si="28"/>
        <v>10.338901168757397</v>
      </c>
      <c r="AE51" s="253">
        <f t="shared" si="28"/>
        <v>38.636320663274269</v>
      </c>
      <c r="AF51" s="253">
        <f t="shared" si="28"/>
        <v>7.0991282001104938</v>
      </c>
      <c r="AG51" s="253">
        <f t="shared" si="28"/>
        <v>1.6414862936468433</v>
      </c>
      <c r="AH51" s="253">
        <f t="shared" si="28"/>
        <v>10.703576935290693</v>
      </c>
      <c r="AI51" s="253">
        <f t="shared" si="28"/>
        <v>25.75036103698103</v>
      </c>
      <c r="AJ51" s="253">
        <f t="shared" si="28"/>
        <v>21.735097791080982</v>
      </c>
      <c r="AK51" s="253">
        <f t="shared" si="28"/>
        <v>4.2139749416319372</v>
      </c>
      <c r="AL51" s="253">
        <f t="shared" si="28"/>
        <v>-2.8688070452245751</v>
      </c>
      <c r="AN51" s="37">
        <f t="shared" si="44"/>
        <v>25.104790830924017</v>
      </c>
      <c r="AO51" s="37">
        <f t="shared" si="44"/>
        <v>25.464068047246531</v>
      </c>
      <c r="AP51" s="37">
        <f t="shared" si="44"/>
        <v>25.393503891378007</v>
      </c>
      <c r="AQ51" s="37">
        <f t="shared" si="44"/>
        <v>24.731616522950471</v>
      </c>
      <c r="AR51" s="37">
        <f t="shared" si="44"/>
        <v>26.018435295704933</v>
      </c>
      <c r="AS51" s="37">
        <f t="shared" si="44"/>
        <v>24.392592908502106</v>
      </c>
      <c r="AT51" s="37">
        <f t="shared" si="44"/>
        <v>25.033227564509591</v>
      </c>
      <c r="AU51" s="37">
        <f t="shared" si="44"/>
        <v>26.540791725246969</v>
      </c>
      <c r="AV51" s="37">
        <f t="shared" si="44"/>
        <v>25.789966197454461</v>
      </c>
      <c r="AW51" s="37">
        <f t="shared" si="44"/>
        <v>25.968349623738344</v>
      </c>
      <c r="AX51" s="37">
        <f t="shared" si="44"/>
        <v>25.415098848711359</v>
      </c>
      <c r="AY51" s="37">
        <f t="shared" si="44"/>
        <v>26.391001757125249</v>
      </c>
      <c r="AZ51" s="37">
        <f t="shared" si="44"/>
        <v>25.687138850732914</v>
      </c>
      <c r="BA51" s="79"/>
      <c r="BB51" s="253">
        <f t="shared" si="31"/>
        <v>37.505217925484871</v>
      </c>
      <c r="BC51" s="306">
        <f t="shared" si="31"/>
        <v>-27.027874263731221</v>
      </c>
      <c r="BD51" s="253">
        <f t="shared" si="31"/>
        <v>22.886415479408662</v>
      </c>
      <c r="BE51" s="253">
        <f t="shared" si="31"/>
        <v>24.502599232496959</v>
      </c>
      <c r="BF51" s="253" t="s">
        <v>9</v>
      </c>
    </row>
    <row r="52" spans="1:58" ht="8.5500000000000007" hidden="1" customHeight="1">
      <c r="A52" s="305" t="s">
        <v>24</v>
      </c>
      <c r="B52" s="38">
        <f t="shared" ref="B52:V52" si="46">+B45+B46+B48+B50</f>
        <v>766629.6</v>
      </c>
      <c r="C52" s="38">
        <f t="shared" si="46"/>
        <v>861015.29999999993</v>
      </c>
      <c r="D52" s="38">
        <f t="shared" si="46"/>
        <v>999292.5</v>
      </c>
      <c r="E52" s="38">
        <f t="shared" si="46"/>
        <v>1293306.4999999998</v>
      </c>
      <c r="F52" s="38">
        <f t="shared" si="46"/>
        <v>1391477.0999999999</v>
      </c>
      <c r="G52" s="38">
        <f t="shared" si="46"/>
        <v>1398451.4000000001</v>
      </c>
      <c r="H52" s="38">
        <f t="shared" si="46"/>
        <v>1378091.9900000002</v>
      </c>
      <c r="I52" s="38">
        <f t="shared" si="46"/>
        <v>1344401.1725950001</v>
      </c>
      <c r="J52" s="38">
        <f t="shared" si="46"/>
        <v>1762426.8500000003</v>
      </c>
      <c r="K52" s="38">
        <f t="shared" si="46"/>
        <v>2101350.5500000003</v>
      </c>
      <c r="L52" s="38">
        <f t="shared" si="46"/>
        <v>2046220.78</v>
      </c>
      <c r="M52" s="38">
        <f t="shared" si="46"/>
        <v>2299243.5</v>
      </c>
      <c r="N52" s="38">
        <f t="shared" si="46"/>
        <v>2805997.0099999993</v>
      </c>
      <c r="O52" s="38">
        <f t="shared" si="46"/>
        <v>3556856.05</v>
      </c>
      <c r="P52" s="38">
        <f t="shared" si="46"/>
        <v>3722928.1500000004</v>
      </c>
      <c r="Q52" s="38">
        <f t="shared" si="46"/>
        <v>3574774.34</v>
      </c>
      <c r="R52" s="38">
        <f t="shared" si="46"/>
        <v>4574969.5199999996</v>
      </c>
      <c r="S52" s="38">
        <f t="shared" si="46"/>
        <v>3250896.436584</v>
      </c>
      <c r="T52" s="38">
        <f t="shared" si="46"/>
        <v>4390912.4285590006</v>
      </c>
      <c r="U52" s="38">
        <f t="shared" si="46"/>
        <v>5296012.9476690004</v>
      </c>
      <c r="V52" s="38" t="e">
        <f t="shared" si="46"/>
        <v>#VALUE!</v>
      </c>
      <c r="W52" s="39"/>
      <c r="X52" s="40">
        <f t="shared" si="28"/>
        <v>12.311773508353973</v>
      </c>
      <c r="Y52" s="40">
        <f t="shared" si="28"/>
        <v>16.059784303484513</v>
      </c>
      <c r="Z52" s="40">
        <f t="shared" si="28"/>
        <v>29.422216217974185</v>
      </c>
      <c r="AA52" s="40">
        <f t="shared" si="28"/>
        <v>7.5906677960715596</v>
      </c>
      <c r="AB52" s="40">
        <f t="shared" si="28"/>
        <v>0.50121557875442146</v>
      </c>
      <c r="AC52" s="40">
        <f t="shared" si="28"/>
        <v>-1.4558539538806925</v>
      </c>
      <c r="AD52" s="253">
        <f t="shared" si="28"/>
        <v>-2.4447437217162915</v>
      </c>
      <c r="AE52" s="253">
        <f t="shared" si="28"/>
        <v>31.093819756056561</v>
      </c>
      <c r="AF52" s="253">
        <f t="shared" si="28"/>
        <v>19.230511609602409</v>
      </c>
      <c r="AG52" s="253">
        <f t="shared" si="28"/>
        <v>-2.6235398943788901</v>
      </c>
      <c r="AH52" s="253">
        <f t="shared" si="28"/>
        <v>12.36536753380053</v>
      </c>
      <c r="AI52" s="253">
        <f t="shared" si="28"/>
        <v>22.040010551296518</v>
      </c>
      <c r="AJ52" s="253">
        <f t="shared" si="28"/>
        <v>26.759081970654019</v>
      </c>
      <c r="AK52" s="253">
        <f t="shared" si="28"/>
        <v>4.6690700344761193</v>
      </c>
      <c r="AL52" s="253">
        <f t="shared" si="28"/>
        <v>-3.9794968914455331</v>
      </c>
      <c r="AN52" s="37">
        <f t="shared" ref="AN52:AZ52" si="47">+(C52/C$30)*100</f>
        <v>91.513394198047607</v>
      </c>
      <c r="AO52" s="37">
        <f t="shared" si="47"/>
        <v>87.842044174340117</v>
      </c>
      <c r="AP52" s="37">
        <f t="shared" si="47"/>
        <v>91.964531862496017</v>
      </c>
      <c r="AQ52" s="37">
        <f t="shared" si="47"/>
        <v>98.613631810255015</v>
      </c>
      <c r="AR52" s="37">
        <f t="shared" si="47"/>
        <v>77.40440338816245</v>
      </c>
      <c r="AS52" s="37">
        <f t="shared" si="47"/>
        <v>61.300585804542486</v>
      </c>
      <c r="AT52" s="37">
        <f t="shared" si="47"/>
        <v>60.715906600509705</v>
      </c>
      <c r="AU52" s="37">
        <f t="shared" si="47"/>
        <v>63.670000395258107</v>
      </c>
      <c r="AV52" s="37">
        <f t="shared" si="47"/>
        <v>72.844584058851197</v>
      </c>
      <c r="AW52" s="37">
        <f t="shared" si="47"/>
        <v>69.98156725031896</v>
      </c>
      <c r="AX52" s="37">
        <f t="shared" si="47"/>
        <v>69.137078299014206</v>
      </c>
      <c r="AY52" s="37">
        <f t="shared" si="47"/>
        <v>72.437323339126749</v>
      </c>
      <c r="AZ52" s="37">
        <f t="shared" si="47"/>
        <v>80.132995110195779</v>
      </c>
      <c r="BA52" s="79"/>
      <c r="BB52" s="253">
        <f t="shared" si="31"/>
        <v>27.979253649896108</v>
      </c>
      <c r="BC52" s="306">
        <f t="shared" si="31"/>
        <v>-28.941680980117212</v>
      </c>
      <c r="BD52" s="253">
        <f t="shared" si="31"/>
        <v>35.067742520057465</v>
      </c>
      <c r="BE52" s="253">
        <f t="shared" si="31"/>
        <v>20.613039632107476</v>
      </c>
      <c r="BF52" s="253" t="e">
        <f t="shared" si="31"/>
        <v>#VALUE!</v>
      </c>
    </row>
    <row r="53" spans="1:58" ht="11.7" customHeight="1">
      <c r="A53" s="82" t="s">
        <v>25</v>
      </c>
      <c r="B53" s="34">
        <v>89352.2</v>
      </c>
      <c r="C53" s="34">
        <v>95277.5</v>
      </c>
      <c r="D53" s="34">
        <v>116688</v>
      </c>
      <c r="E53" s="34">
        <v>153564.79999999999</v>
      </c>
      <c r="F53" s="34">
        <v>152521.5</v>
      </c>
      <c r="G53" s="34">
        <v>174701.82</v>
      </c>
      <c r="H53" s="34">
        <v>141465.06</v>
      </c>
      <c r="I53" s="34">
        <v>181690.93</v>
      </c>
      <c r="J53" s="34">
        <v>253523.13</v>
      </c>
      <c r="K53" s="34">
        <v>224512.12</v>
      </c>
      <c r="L53" s="34">
        <v>251512.84</v>
      </c>
      <c r="M53" s="34">
        <v>282434.78999999998</v>
      </c>
      <c r="N53" s="34">
        <v>340174.92</v>
      </c>
      <c r="O53" s="34">
        <v>401493.43</v>
      </c>
      <c r="P53" s="34">
        <v>405653.29</v>
      </c>
      <c r="Q53" s="34">
        <v>447116.04</v>
      </c>
      <c r="R53" s="105">
        <v>540757.61</v>
      </c>
      <c r="S53" s="34">
        <v>441210.89474900003</v>
      </c>
      <c r="T53" s="34">
        <v>462422.4</v>
      </c>
      <c r="U53" s="34">
        <v>554132.88</v>
      </c>
      <c r="V53" s="34" t="s">
        <v>9</v>
      </c>
      <c r="W53" s="35"/>
      <c r="X53" s="36">
        <f t="shared" si="28"/>
        <v>6.6313979957964175</v>
      </c>
      <c r="Y53" s="36">
        <f t="shared" si="28"/>
        <v>22.47172732282019</v>
      </c>
      <c r="Z53" s="36">
        <f t="shared" si="28"/>
        <v>31.602906897024539</v>
      </c>
      <c r="AA53" s="36">
        <f t="shared" si="28"/>
        <v>-0.67938746379377912</v>
      </c>
      <c r="AB53" s="36">
        <f t="shared" si="28"/>
        <v>14.542421888061696</v>
      </c>
      <c r="AC53" s="36">
        <f t="shared" si="28"/>
        <v>-19.024850456623753</v>
      </c>
      <c r="AD53" s="37">
        <f t="shared" si="28"/>
        <v>28.435198062334255</v>
      </c>
      <c r="AE53" s="37">
        <f t="shared" si="28"/>
        <v>39.535380219584979</v>
      </c>
      <c r="AF53" s="37">
        <f t="shared" si="28"/>
        <v>-11.443141302334038</v>
      </c>
      <c r="AG53" s="37">
        <f t="shared" si="28"/>
        <v>12.026397505845111</v>
      </c>
      <c r="AH53" s="37">
        <f t="shared" si="28"/>
        <v>12.294382266925208</v>
      </c>
      <c r="AI53" s="37">
        <f t="shared" si="28"/>
        <v>20.44370312878241</v>
      </c>
      <c r="AJ53" s="73">
        <f t="shared" si="28"/>
        <v>18.025582250449279</v>
      </c>
      <c r="AK53" s="37">
        <f t="shared" ref="AJ53:AL60" si="48">((P53/O53)-1)*100</f>
        <v>1.0360966554296969</v>
      </c>
      <c r="AL53" s="37">
        <f t="shared" si="48"/>
        <v>10.221228576748388</v>
      </c>
      <c r="AN53" s="37">
        <f t="shared" ref="AN53:AZ53" si="49">+(C53/C$60)*100</f>
        <v>8.1387474166401432</v>
      </c>
      <c r="AO53" s="37">
        <f t="shared" si="49"/>
        <v>8.5219728840474769</v>
      </c>
      <c r="AP53" s="37">
        <f t="shared" si="49"/>
        <v>8.7075054581810107</v>
      </c>
      <c r="AQ53" s="37">
        <f t="shared" si="49"/>
        <v>8.3216610072799089</v>
      </c>
      <c r="AR53" s="37">
        <f t="shared" si="49"/>
        <v>9.0788944800969364</v>
      </c>
      <c r="AS53" s="37">
        <f t="shared" si="49"/>
        <v>7.9740567542912348</v>
      </c>
      <c r="AT53" s="37">
        <f t="shared" si="49"/>
        <v>9.5256277765155808</v>
      </c>
      <c r="AU53" s="37">
        <f t="shared" si="49"/>
        <v>10.164779212651263</v>
      </c>
      <c r="AV53" s="37">
        <f t="shared" si="49"/>
        <v>8.1671609811968224</v>
      </c>
      <c r="AW53" s="37">
        <f t="shared" si="49"/>
        <v>9.0638780974884252</v>
      </c>
      <c r="AX53" s="37">
        <f t="shared" si="49"/>
        <v>8.9982465042972297</v>
      </c>
      <c r="AY53" s="37">
        <f t="shared" si="49"/>
        <v>8.949459724665962</v>
      </c>
      <c r="AZ53" s="37">
        <f t="shared" si="49"/>
        <v>8.4453376619044001</v>
      </c>
      <c r="BA53" s="79"/>
      <c r="BB53" s="37">
        <f t="shared" si="31"/>
        <v>20.943460225672062</v>
      </c>
      <c r="BC53" s="73">
        <f t="shared" si="31"/>
        <v>-18.408749763318166</v>
      </c>
      <c r="BD53" s="37">
        <f t="shared" si="31"/>
        <v>4.8075660649918861</v>
      </c>
      <c r="BE53" s="37">
        <f t="shared" si="31"/>
        <v>19.832620565093716</v>
      </c>
      <c r="BF53" s="37" t="s">
        <v>9</v>
      </c>
    </row>
    <row r="54" spans="1:58" ht="11.7" hidden="1" customHeight="1">
      <c r="A54" s="305" t="s">
        <v>26</v>
      </c>
      <c r="B54" s="252">
        <f t="shared" ref="B54:U54" si="50">+B45+B51+B53</f>
        <v>855981.8</v>
      </c>
      <c r="C54" s="252">
        <f t="shared" si="50"/>
        <v>956292.79999999993</v>
      </c>
      <c r="D54" s="252">
        <f t="shared" si="50"/>
        <v>1115980.5</v>
      </c>
      <c r="E54" s="252">
        <f t="shared" si="50"/>
        <v>1446871.3</v>
      </c>
      <c r="F54" s="252">
        <f t="shared" si="50"/>
        <v>1543998.5999999999</v>
      </c>
      <c r="G54" s="252">
        <f t="shared" si="50"/>
        <v>1573153.2200000002</v>
      </c>
      <c r="H54" s="252">
        <f t="shared" si="50"/>
        <v>1519557.05</v>
      </c>
      <c r="I54" s="252">
        <f t="shared" si="50"/>
        <v>1526092.1025950001</v>
      </c>
      <c r="J54" s="252">
        <f t="shared" si="50"/>
        <v>2015949.98</v>
      </c>
      <c r="K54" s="252">
        <f t="shared" si="50"/>
        <v>2325862.6700000004</v>
      </c>
      <c r="L54" s="252">
        <f t="shared" si="50"/>
        <v>2297733.6199999996</v>
      </c>
      <c r="M54" s="252">
        <f t="shared" si="50"/>
        <v>2581678.29</v>
      </c>
      <c r="N54" s="252">
        <f t="shared" si="50"/>
        <v>3146171.9299999997</v>
      </c>
      <c r="O54" s="252">
        <f t="shared" si="50"/>
        <v>3958349.48</v>
      </c>
      <c r="P54" s="252">
        <f t="shared" si="50"/>
        <v>4128581.4400000004</v>
      </c>
      <c r="Q54" s="252">
        <f t="shared" si="50"/>
        <v>4021890.38</v>
      </c>
      <c r="R54" s="252">
        <f t="shared" si="50"/>
        <v>5115727.13</v>
      </c>
      <c r="S54" s="252">
        <f t="shared" si="50"/>
        <v>3692107.3313329997</v>
      </c>
      <c r="T54" s="252">
        <f t="shared" si="50"/>
        <v>4853334.828559001</v>
      </c>
      <c r="U54" s="252">
        <f t="shared" si="50"/>
        <v>5850145.8276690003</v>
      </c>
      <c r="V54" s="252" t="s">
        <v>9</v>
      </c>
      <c r="W54" s="39"/>
      <c r="X54" s="40">
        <f t="shared" ref="X54:AI60" si="51">((C54/B54)-1)*100</f>
        <v>11.718823928265753</v>
      </c>
      <c r="Y54" s="40">
        <f t="shared" si="51"/>
        <v>16.698619920593359</v>
      </c>
      <c r="Z54" s="40">
        <f t="shared" si="51"/>
        <v>29.650231343648038</v>
      </c>
      <c r="AA54" s="40">
        <f t="shared" si="51"/>
        <v>6.7129191103590058</v>
      </c>
      <c r="AB54" s="40">
        <f t="shared" si="51"/>
        <v>1.8882543028212906</v>
      </c>
      <c r="AC54" s="40">
        <f t="shared" si="51"/>
        <v>-3.4069262496885133</v>
      </c>
      <c r="AD54" s="253">
        <f t="shared" si="51"/>
        <v>0.43006299730570241</v>
      </c>
      <c r="AE54" s="253">
        <f t="shared" si="51"/>
        <v>32.098840992102318</v>
      </c>
      <c r="AF54" s="253">
        <f t="shared" si="51"/>
        <v>15.373034701982057</v>
      </c>
      <c r="AG54" s="253">
        <f t="shared" si="51"/>
        <v>-1.2094028750201602</v>
      </c>
      <c r="AH54" s="253">
        <f t="shared" si="51"/>
        <v>12.357597396342257</v>
      </c>
      <c r="AI54" s="253">
        <f t="shared" si="51"/>
        <v>21.865375023159817</v>
      </c>
      <c r="AJ54" s="253">
        <f t="shared" si="48"/>
        <v>25.814785970708233</v>
      </c>
      <c r="AK54" s="253">
        <f t="shared" si="48"/>
        <v>4.3005793414683691</v>
      </c>
      <c r="AL54" s="253">
        <f t="shared" si="48"/>
        <v>-2.5842062594749415</v>
      </c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79"/>
      <c r="BB54" s="253">
        <f t="shared" si="31"/>
        <v>27.197080145182873</v>
      </c>
      <c r="BC54" s="306">
        <f t="shared" si="31"/>
        <v>-27.828298157626719</v>
      </c>
      <c r="BD54" s="253">
        <f t="shared" si="31"/>
        <v>31.451618087352596</v>
      </c>
      <c r="BE54" s="253">
        <f t="shared" si="31"/>
        <v>20.53868184087273</v>
      </c>
      <c r="BF54" s="253" t="s">
        <v>9</v>
      </c>
    </row>
    <row r="55" spans="1:58" ht="11.7" customHeight="1">
      <c r="A55" s="82" t="s">
        <v>27</v>
      </c>
      <c r="B55" s="34">
        <v>90051.9</v>
      </c>
      <c r="C55" s="34">
        <v>113568.3</v>
      </c>
      <c r="D55" s="34">
        <v>124844.8</v>
      </c>
      <c r="E55" s="34">
        <v>163588.20000000001</v>
      </c>
      <c r="F55" s="34">
        <v>148509.4</v>
      </c>
      <c r="G55" s="34">
        <v>158242.26999999999</v>
      </c>
      <c r="H55" s="34">
        <v>125847.08</v>
      </c>
      <c r="I55" s="34">
        <v>191826.65</v>
      </c>
      <c r="J55" s="34">
        <v>248661.34</v>
      </c>
      <c r="K55" s="34">
        <v>227363.8</v>
      </c>
      <c r="L55" s="34">
        <v>256364.95</v>
      </c>
      <c r="M55" s="34">
        <v>264089.45</v>
      </c>
      <c r="N55" s="34">
        <v>353770.79</v>
      </c>
      <c r="O55" s="34">
        <v>401104.21</v>
      </c>
      <c r="P55" s="34">
        <v>408336.58</v>
      </c>
      <c r="Q55" s="34">
        <v>439285.21</v>
      </c>
      <c r="R55" s="105">
        <v>450478.56</v>
      </c>
      <c r="S55" s="34">
        <v>428927.95407099999</v>
      </c>
      <c r="T55" s="34">
        <v>519254</v>
      </c>
      <c r="U55" s="34">
        <v>522511.74</v>
      </c>
      <c r="V55" s="34" t="s">
        <v>9</v>
      </c>
      <c r="W55" s="35"/>
      <c r="X55" s="36">
        <f t="shared" si="51"/>
        <v>26.114274101934566</v>
      </c>
      <c r="Y55" s="36">
        <f t="shared" si="51"/>
        <v>9.9292672339024168</v>
      </c>
      <c r="Z55" s="36">
        <f t="shared" si="51"/>
        <v>31.033250884297956</v>
      </c>
      <c r="AA55" s="36">
        <f t="shared" si="51"/>
        <v>-9.2175352500975087</v>
      </c>
      <c r="AB55" s="36">
        <f t="shared" si="51"/>
        <v>6.5537063647149507</v>
      </c>
      <c r="AC55" s="36">
        <f t="shared" si="51"/>
        <v>-20.471894140547896</v>
      </c>
      <c r="AD55" s="37">
        <f t="shared" si="51"/>
        <v>52.428367825459276</v>
      </c>
      <c r="AE55" s="37">
        <f t="shared" si="51"/>
        <v>29.628151250100032</v>
      </c>
      <c r="AF55" s="37">
        <f t="shared" si="51"/>
        <v>-8.5648778374636017</v>
      </c>
      <c r="AG55" s="37">
        <f t="shared" si="51"/>
        <v>12.75539465825255</v>
      </c>
      <c r="AH55" s="37">
        <f t="shared" si="51"/>
        <v>3.0130873974776984</v>
      </c>
      <c r="AI55" s="37">
        <f t="shared" si="51"/>
        <v>33.958698463721284</v>
      </c>
      <c r="AJ55" s="73">
        <f t="shared" si="48"/>
        <v>13.379685756418747</v>
      </c>
      <c r="AK55" s="37">
        <f t="shared" si="48"/>
        <v>1.8031149560858495</v>
      </c>
      <c r="AL55" s="37">
        <f>((Q55/P55)-1)*100</f>
        <v>7.5791960641880207</v>
      </c>
      <c r="AN55" s="37">
        <f t="shared" ref="AN55:AZ55" si="52">+(C55/C$60)*100</f>
        <v>9.701175075303329</v>
      </c>
      <c r="AO55" s="37">
        <f t="shared" si="52"/>
        <v>9.1176813409633422</v>
      </c>
      <c r="AP55" s="37">
        <f t="shared" si="52"/>
        <v>9.275857126073209</v>
      </c>
      <c r="AQ55" s="37">
        <f t="shared" si="52"/>
        <v>8.1027585172879562</v>
      </c>
      <c r="AR55" s="37">
        <f t="shared" si="52"/>
        <v>8.2235254997401217</v>
      </c>
      <c r="AS55" s="37">
        <f t="shared" si="52"/>
        <v>7.0937075082838792</v>
      </c>
      <c r="AT55" s="37">
        <f t="shared" si="52"/>
        <v>10.057019717582667</v>
      </c>
      <c r="AU55" s="37">
        <f t="shared" si="52"/>
        <v>9.9698501664207448</v>
      </c>
      <c r="AV55" s="37">
        <f t="shared" si="52"/>
        <v>8.2708976063146977</v>
      </c>
      <c r="AW55" s="37">
        <f t="shared" si="52"/>
        <v>9.2387357053767722</v>
      </c>
      <c r="AX55" s="37">
        <f t="shared" si="52"/>
        <v>8.4137721499687714</v>
      </c>
      <c r="AY55" s="37">
        <f t="shared" si="52"/>
        <v>9.3071453852866632</v>
      </c>
      <c r="AZ55" s="37">
        <f t="shared" si="52"/>
        <v>8.437150493499761</v>
      </c>
      <c r="BA55" s="79"/>
      <c r="BB55" s="37">
        <f t="shared" si="31"/>
        <v>2.5480825999127044</v>
      </c>
      <c r="BC55" s="73">
        <f t="shared" si="31"/>
        <v>-4.7839359833240502</v>
      </c>
      <c r="BD55" s="37">
        <f t="shared" si="31"/>
        <v>21.05855891920918</v>
      </c>
      <c r="BE55" s="140">
        <f t="shared" si="31"/>
        <v>0.62738852276535972</v>
      </c>
      <c r="BF55" s="140" t="s">
        <v>9</v>
      </c>
    </row>
    <row r="56" spans="1:58" ht="11.7" hidden="1" customHeight="1">
      <c r="A56" s="305" t="s">
        <v>28</v>
      </c>
      <c r="B56" s="252">
        <f t="shared" ref="B56:U56" si="53">+B45+B51+B53+B55</f>
        <v>946033.70000000007</v>
      </c>
      <c r="C56" s="252">
        <f t="shared" si="53"/>
        <v>1069861.0999999999</v>
      </c>
      <c r="D56" s="252">
        <f t="shared" si="53"/>
        <v>1240825.3</v>
      </c>
      <c r="E56" s="252">
        <f t="shared" si="53"/>
        <v>1610459.5</v>
      </c>
      <c r="F56" s="252">
        <f t="shared" si="53"/>
        <v>1692507.9999999998</v>
      </c>
      <c r="G56" s="252">
        <f t="shared" si="53"/>
        <v>1731395.4900000002</v>
      </c>
      <c r="H56" s="252">
        <f t="shared" si="53"/>
        <v>1645404.1300000001</v>
      </c>
      <c r="I56" s="252">
        <f t="shared" si="53"/>
        <v>1717918.752595</v>
      </c>
      <c r="J56" s="252">
        <f t="shared" si="53"/>
        <v>2264611.3199999998</v>
      </c>
      <c r="K56" s="252">
        <f t="shared" si="53"/>
        <v>2553226.4700000002</v>
      </c>
      <c r="L56" s="252">
        <f t="shared" si="53"/>
        <v>2554098.5699999998</v>
      </c>
      <c r="M56" s="252">
        <f t="shared" si="53"/>
        <v>2845767.74</v>
      </c>
      <c r="N56" s="252">
        <f t="shared" si="53"/>
        <v>3499942.7199999997</v>
      </c>
      <c r="O56" s="252">
        <f t="shared" si="53"/>
        <v>4359453.6900000004</v>
      </c>
      <c r="P56" s="252">
        <f t="shared" si="53"/>
        <v>4536918.0200000005</v>
      </c>
      <c r="Q56" s="252">
        <f t="shared" si="53"/>
        <v>4461175.59</v>
      </c>
      <c r="R56" s="252">
        <f t="shared" si="53"/>
        <v>5566205.6899999995</v>
      </c>
      <c r="S56" s="252">
        <f t="shared" si="53"/>
        <v>4121035.2854039995</v>
      </c>
      <c r="T56" s="252">
        <f t="shared" si="53"/>
        <v>5372588.828559001</v>
      </c>
      <c r="U56" s="252">
        <f t="shared" si="53"/>
        <v>6372657.5676690005</v>
      </c>
      <c r="V56" s="252" t="s">
        <v>9</v>
      </c>
      <c r="W56" s="39"/>
      <c r="X56" s="40">
        <f t="shared" si="51"/>
        <v>13.089110884739075</v>
      </c>
      <c r="Y56" s="40">
        <f t="shared" si="51"/>
        <v>15.980037034714156</v>
      </c>
      <c r="Z56" s="40">
        <f t="shared" si="51"/>
        <v>29.78938292118962</v>
      </c>
      <c r="AA56" s="40">
        <f t="shared" si="51"/>
        <v>5.0947260704165442</v>
      </c>
      <c r="AB56" s="40">
        <f t="shared" si="51"/>
        <v>2.2976251810922221</v>
      </c>
      <c r="AC56" s="40">
        <f t="shared" si="51"/>
        <v>-4.9665925836505531</v>
      </c>
      <c r="AD56" s="253">
        <f t="shared" si="51"/>
        <v>4.4071010442279457</v>
      </c>
      <c r="AE56" s="253">
        <f t="shared" si="51"/>
        <v>31.822958249870315</v>
      </c>
      <c r="AF56" s="253">
        <f t="shared" si="51"/>
        <v>12.744577731776086</v>
      </c>
      <c r="AG56" s="253">
        <f t="shared" si="51"/>
        <v>3.4156782026451005E-2</v>
      </c>
      <c r="AH56" s="253">
        <f t="shared" si="51"/>
        <v>11.419652061431606</v>
      </c>
      <c r="AI56" s="253">
        <f t="shared" si="51"/>
        <v>22.987644803366813</v>
      </c>
      <c r="AJ56" s="253">
        <f t="shared" si="48"/>
        <v>24.557858192604964</v>
      </c>
      <c r="AK56" s="253">
        <f t="shared" si="48"/>
        <v>4.0707928703791252</v>
      </c>
      <c r="AL56" s="253">
        <f>((Q56/P56)-1)*100</f>
        <v>-1.6694687818053278</v>
      </c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79"/>
      <c r="BB56" s="253">
        <f t="shared" si="31"/>
        <v>24.769930654085726</v>
      </c>
      <c r="BC56" s="306">
        <f t="shared" si="31"/>
        <v>-25.963295017867015</v>
      </c>
      <c r="BD56" s="253">
        <f t="shared" si="31"/>
        <v>30.36988175247588</v>
      </c>
      <c r="BE56" s="253">
        <f t="shared" si="31"/>
        <v>18.614280210574584</v>
      </c>
      <c r="BF56" s="253" t="s">
        <v>9</v>
      </c>
    </row>
    <row r="57" spans="1:58" ht="11.7" customHeight="1">
      <c r="A57" s="82" t="s">
        <v>29</v>
      </c>
      <c r="B57" s="34">
        <v>87211</v>
      </c>
      <c r="C57" s="34">
        <v>100804.3</v>
      </c>
      <c r="D57" s="34">
        <v>128435.1</v>
      </c>
      <c r="E57" s="34">
        <v>153131.70000000001</v>
      </c>
      <c r="F57" s="34">
        <v>140317.20000000001</v>
      </c>
      <c r="G57" s="34">
        <v>192867.65</v>
      </c>
      <c r="H57" s="34">
        <v>128662.25</v>
      </c>
      <c r="I57" s="34">
        <v>189471.86</v>
      </c>
      <c r="J57" s="34">
        <v>229521.85</v>
      </c>
      <c r="K57" s="34">
        <v>195735.14</v>
      </c>
      <c r="L57" s="34">
        <v>220793.56</v>
      </c>
      <c r="M57" s="34">
        <v>293008.13</v>
      </c>
      <c r="N57" s="34">
        <v>301123.83</v>
      </c>
      <c r="O57" s="34">
        <v>394570.91</v>
      </c>
      <c r="P57" s="34">
        <v>406004.51</v>
      </c>
      <c r="Q57" s="34">
        <v>409010.82</v>
      </c>
      <c r="R57" s="105">
        <v>396276.8</v>
      </c>
      <c r="S57" s="34">
        <v>480946.51100699999</v>
      </c>
      <c r="T57" s="34">
        <v>484002.44</v>
      </c>
      <c r="U57" s="34">
        <v>610070.56000000006</v>
      </c>
      <c r="V57" s="34" t="s">
        <v>9</v>
      </c>
      <c r="W57" s="35"/>
      <c r="X57" s="36">
        <f t="shared" si="51"/>
        <v>15.586680579284717</v>
      </c>
      <c r="Y57" s="36">
        <f t="shared" si="51"/>
        <v>27.410338646268073</v>
      </c>
      <c r="Z57" s="36">
        <f t="shared" si="51"/>
        <v>19.228855663288314</v>
      </c>
      <c r="AA57" s="36">
        <f t="shared" si="51"/>
        <v>-8.3682869059770066</v>
      </c>
      <c r="AB57" s="36">
        <f t="shared" si="51"/>
        <v>37.451182036129559</v>
      </c>
      <c r="AC57" s="36">
        <f t="shared" si="51"/>
        <v>-33.28987520716926</v>
      </c>
      <c r="AD57" s="37">
        <f t="shared" si="51"/>
        <v>47.262977291318919</v>
      </c>
      <c r="AE57" s="37">
        <f t="shared" si="51"/>
        <v>21.13769823128353</v>
      </c>
      <c r="AF57" s="37">
        <f>((K57/J57)-1)*100</f>
        <v>-14.720476503653135</v>
      </c>
      <c r="AG57" s="37">
        <f t="shared" si="51"/>
        <v>12.802208126757408</v>
      </c>
      <c r="AH57" s="37">
        <f t="shared" si="51"/>
        <v>32.706828043354164</v>
      </c>
      <c r="AI57" s="37">
        <f t="shared" si="51"/>
        <v>2.7697866267396787</v>
      </c>
      <c r="AJ57" s="37">
        <f t="shared" si="48"/>
        <v>31.03277478902946</v>
      </c>
      <c r="AK57" s="37">
        <f t="shared" si="48"/>
        <v>2.8977300936858352</v>
      </c>
      <c r="AL57" s="37">
        <f t="shared" si="48"/>
        <v>0.74046221801822298</v>
      </c>
      <c r="AN57" s="37">
        <f t="shared" ref="AN57:AZ60" si="54">+(C57/C$60)*100</f>
        <v>8.6108549889661052</v>
      </c>
      <c r="AO57" s="37">
        <f t="shared" si="54"/>
        <v>9.3798885880289831</v>
      </c>
      <c r="AP57" s="37">
        <f t="shared" si="54"/>
        <v>8.6829476128027867</v>
      </c>
      <c r="AQ57" s="37">
        <f t="shared" si="54"/>
        <v>7.6557873604094944</v>
      </c>
      <c r="AR57" s="37">
        <f t="shared" si="54"/>
        <v>10.022935324739422</v>
      </c>
      <c r="AS57" s="37">
        <f t="shared" si="54"/>
        <v>7.252392100457933</v>
      </c>
      <c r="AT57" s="37">
        <f t="shared" si="54"/>
        <v>9.9335636208371607</v>
      </c>
      <c r="AU57" s="37">
        <f t="shared" si="54"/>
        <v>9.2024697301948795</v>
      </c>
      <c r="AV57" s="37">
        <f t="shared" si="54"/>
        <v>7.1203300652859971</v>
      </c>
      <c r="AW57" s="37">
        <f t="shared" si="54"/>
        <v>7.9568339833087487</v>
      </c>
      <c r="AX57" s="37">
        <f t="shared" si="54"/>
        <v>9.3351084032642326</v>
      </c>
      <c r="AY57" s="37">
        <f t="shared" si="54"/>
        <v>7.9220878150633807</v>
      </c>
      <c r="AZ57" s="37">
        <f t="shared" si="54"/>
        <v>8.2997237750936321</v>
      </c>
      <c r="BA57" s="79"/>
      <c r="BB57" s="37">
        <f t="shared" si="31"/>
        <v>-3.1133699592592712</v>
      </c>
      <c r="BC57" s="73">
        <f t="shared" si="31"/>
        <v>21.366305321684244</v>
      </c>
      <c r="BD57" s="37">
        <f t="shared" si="31"/>
        <v>0.63539893170272421</v>
      </c>
      <c r="BE57" s="37">
        <f t="shared" si="31"/>
        <v>26.047000920078013</v>
      </c>
      <c r="BF57" s="37" t="s">
        <v>9</v>
      </c>
    </row>
    <row r="58" spans="1:58" ht="11.7" customHeight="1">
      <c r="A58" s="84" t="s">
        <v>30</v>
      </c>
      <c r="B58" s="38">
        <f t="shared" ref="B58:T58" si="55">+B53+B55+B57</f>
        <v>266615.09999999998</v>
      </c>
      <c r="C58" s="38">
        <f t="shared" si="55"/>
        <v>309650.09999999998</v>
      </c>
      <c r="D58" s="38">
        <f t="shared" si="55"/>
        <v>369967.9</v>
      </c>
      <c r="E58" s="38">
        <f t="shared" si="55"/>
        <v>470284.7</v>
      </c>
      <c r="F58" s="38">
        <f t="shared" si="55"/>
        <v>441348.10000000003</v>
      </c>
      <c r="G58" s="38">
        <f t="shared" si="55"/>
        <v>525811.74</v>
      </c>
      <c r="H58" s="38">
        <f t="shared" si="55"/>
        <v>395974.39</v>
      </c>
      <c r="I58" s="38">
        <f t="shared" si="55"/>
        <v>562989.43999999994</v>
      </c>
      <c r="J58" s="38">
        <f t="shared" si="55"/>
        <v>731706.32</v>
      </c>
      <c r="K58" s="38">
        <f t="shared" si="55"/>
        <v>647611.06000000006</v>
      </c>
      <c r="L58" s="38">
        <f t="shared" si="55"/>
        <v>728671.35000000009</v>
      </c>
      <c r="M58" s="38">
        <f t="shared" si="55"/>
        <v>839532.37</v>
      </c>
      <c r="N58" s="38">
        <f t="shared" si="55"/>
        <v>995069.54</v>
      </c>
      <c r="O58" s="38">
        <f t="shared" si="55"/>
        <v>1197168.55</v>
      </c>
      <c r="P58" s="38">
        <f t="shared" si="55"/>
        <v>1219994.3799999999</v>
      </c>
      <c r="Q58" s="38">
        <f t="shared" si="55"/>
        <v>1295412.07</v>
      </c>
      <c r="R58" s="38">
        <f t="shared" si="55"/>
        <v>1387512.97</v>
      </c>
      <c r="S58" s="38">
        <f t="shared" si="55"/>
        <v>1351085.3598269999</v>
      </c>
      <c r="T58" s="38">
        <f t="shared" si="55"/>
        <v>1465678.84</v>
      </c>
      <c r="U58" s="38">
        <f>+U53+U55+U57</f>
        <v>1686715.1800000002</v>
      </c>
      <c r="V58" s="38" t="s">
        <v>9</v>
      </c>
      <c r="W58" s="39"/>
      <c r="X58" s="40">
        <f t="shared" si="51"/>
        <v>16.141246313505885</v>
      </c>
      <c r="Y58" s="40">
        <f t="shared" si="51"/>
        <v>19.479341359812263</v>
      </c>
      <c r="Z58" s="40">
        <f t="shared" si="51"/>
        <v>27.115001058199905</v>
      </c>
      <c r="AA58" s="40">
        <f t="shared" si="51"/>
        <v>-6.1529962594998207</v>
      </c>
      <c r="AB58" s="40">
        <f t="shared" si="51"/>
        <v>19.137646678438159</v>
      </c>
      <c r="AC58" s="40">
        <f t="shared" si="51"/>
        <v>-24.692744593340564</v>
      </c>
      <c r="AD58" s="253">
        <f t="shared" si="51"/>
        <v>42.178245416326021</v>
      </c>
      <c r="AE58" s="253">
        <f t="shared" si="51"/>
        <v>29.968036345406411</v>
      </c>
      <c r="AF58" s="253">
        <f>((K58/J58)-1)*100</f>
        <v>-11.493034527841706</v>
      </c>
      <c r="AG58" s="253">
        <f t="shared" si="51"/>
        <v>12.516816806680243</v>
      </c>
      <c r="AH58" s="253">
        <f t="shared" si="51"/>
        <v>15.214131857935676</v>
      </c>
      <c r="AI58" s="253">
        <f t="shared" si="51"/>
        <v>18.526643588501535</v>
      </c>
      <c r="AJ58" s="253">
        <f t="shared" si="48"/>
        <v>20.310038834069832</v>
      </c>
      <c r="AK58" s="253">
        <f t="shared" si="48"/>
        <v>1.906651323240971</v>
      </c>
      <c r="AL58" s="253">
        <f t="shared" si="48"/>
        <v>6.1818063456980932</v>
      </c>
      <c r="AN58" s="37">
        <f t="shared" si="54"/>
        <v>26.450777480909576</v>
      </c>
      <c r="AO58" s="37">
        <f t="shared" si="54"/>
        <v>27.019542813039806</v>
      </c>
      <c r="AP58" s="37">
        <f t="shared" si="54"/>
        <v>26.666310197057008</v>
      </c>
      <c r="AQ58" s="37">
        <f t="shared" si="54"/>
        <v>24.080206884977358</v>
      </c>
      <c r="AR58" s="37">
        <f t="shared" si="54"/>
        <v>27.325355304576483</v>
      </c>
      <c r="AS58" s="37">
        <f t="shared" si="54"/>
        <v>22.320156363033046</v>
      </c>
      <c r="AT58" s="37">
        <f t="shared" si="54"/>
        <v>29.516211114935402</v>
      </c>
      <c r="AU58" s="37">
        <f t="shared" si="54"/>
        <v>29.337099109266884</v>
      </c>
      <c r="AV58" s="37">
        <f t="shared" si="54"/>
        <v>23.558388652797518</v>
      </c>
      <c r="AW58" s="37">
        <f t="shared" si="54"/>
        <v>26.259447786173951</v>
      </c>
      <c r="AX58" s="37">
        <f t="shared" si="54"/>
        <v>26.747127057530236</v>
      </c>
      <c r="AY58" s="37">
        <f t="shared" si="54"/>
        <v>26.178692925016005</v>
      </c>
      <c r="AZ58" s="37">
        <f t="shared" si="54"/>
        <v>25.182211930497793</v>
      </c>
      <c r="BA58" s="79"/>
      <c r="BB58" s="253">
        <f t="shared" si="31"/>
        <v>7.109776273738122</v>
      </c>
      <c r="BC58" s="306">
        <f t="shared" si="31"/>
        <v>-2.6253888043295204</v>
      </c>
      <c r="BD58" s="253">
        <f t="shared" si="31"/>
        <v>8.4815869951897938</v>
      </c>
      <c r="BE58" s="253">
        <f t="shared" si="31"/>
        <v>15.080816749732161</v>
      </c>
      <c r="BF58" s="253" t="s">
        <v>9</v>
      </c>
    </row>
    <row r="59" spans="1:58" ht="11.7" customHeight="1">
      <c r="A59" s="84" t="s">
        <v>31</v>
      </c>
      <c r="B59" s="38">
        <f t="shared" ref="B59:T59" si="56">+B58+B51</f>
        <v>536916.30000000005</v>
      </c>
      <c r="C59" s="38">
        <f t="shared" si="56"/>
        <v>603543.19999999995</v>
      </c>
      <c r="D59" s="38">
        <f t="shared" si="56"/>
        <v>718637.3</v>
      </c>
      <c r="E59" s="38">
        <f t="shared" si="56"/>
        <v>918122.3</v>
      </c>
      <c r="F59" s="38">
        <f t="shared" si="56"/>
        <v>894635.4</v>
      </c>
      <c r="G59" s="38">
        <f t="shared" si="56"/>
        <v>1026474.9</v>
      </c>
      <c r="H59" s="38">
        <f t="shared" si="56"/>
        <v>828715.17999999993</v>
      </c>
      <c r="I59" s="38">
        <f t="shared" si="56"/>
        <v>1040470.8725949998</v>
      </c>
      <c r="J59" s="38">
        <f t="shared" si="56"/>
        <v>1393669.0099999998</v>
      </c>
      <c r="K59" s="38">
        <f t="shared" si="56"/>
        <v>1356567.33</v>
      </c>
      <c r="L59" s="38">
        <f t="shared" si="56"/>
        <v>1449265.04</v>
      </c>
      <c r="M59" s="68">
        <f t="shared" si="56"/>
        <v>1637255.3599999999</v>
      </c>
      <c r="N59" s="68">
        <f t="shared" si="56"/>
        <v>1998209.08</v>
      </c>
      <c r="O59" s="68">
        <f t="shared" si="56"/>
        <v>2418341.4500000002</v>
      </c>
      <c r="P59" s="68">
        <f t="shared" si="56"/>
        <v>2492627.2000000002</v>
      </c>
      <c r="Q59" s="68">
        <f t="shared" si="56"/>
        <v>2531535.5099999998</v>
      </c>
      <c r="R59" s="68">
        <f t="shared" si="56"/>
        <v>3087247.2</v>
      </c>
      <c r="S59" s="68">
        <f t="shared" si="56"/>
        <v>2591417.5593249998</v>
      </c>
      <c r="T59" s="68">
        <f t="shared" si="56"/>
        <v>2989878.62</v>
      </c>
      <c r="U59" s="68">
        <f>+U58+U51</f>
        <v>3584383.5235960004</v>
      </c>
      <c r="V59" s="68" t="s">
        <v>35</v>
      </c>
      <c r="W59" s="39"/>
      <c r="X59" s="40">
        <f t="shared" si="51"/>
        <v>12.409178115844099</v>
      </c>
      <c r="Y59" s="40">
        <f t="shared" si="51"/>
        <v>19.069736847337548</v>
      </c>
      <c r="Z59" s="40">
        <f t="shared" si="51"/>
        <v>27.758787360466819</v>
      </c>
      <c r="AA59" s="40">
        <f t="shared" si="51"/>
        <v>-2.5581450314408061</v>
      </c>
      <c r="AB59" s="40">
        <f t="shared" si="51"/>
        <v>14.736673733232553</v>
      </c>
      <c r="AC59" s="40">
        <f>((H59/G59)-1)*100</f>
        <v>-19.265908986181746</v>
      </c>
      <c r="AD59" s="253">
        <f t="shared" si="51"/>
        <v>25.552288374275946</v>
      </c>
      <c r="AE59" s="253">
        <f t="shared" si="51"/>
        <v>33.945989907829087</v>
      </c>
      <c r="AF59" s="253">
        <f>((K59/J59)-1)*100</f>
        <v>-2.6621586426751165</v>
      </c>
      <c r="AG59" s="253">
        <f t="shared" si="51"/>
        <v>6.8332553755367176</v>
      </c>
      <c r="AH59" s="253">
        <f t="shared" si="51"/>
        <v>12.971424467673609</v>
      </c>
      <c r="AI59" s="253">
        <f t="shared" si="51"/>
        <v>22.046268946097712</v>
      </c>
      <c r="AJ59" s="253">
        <f t="shared" si="48"/>
        <v>21.025445945826647</v>
      </c>
      <c r="AK59" s="253">
        <f t="shared" si="48"/>
        <v>3.0717643283995288</v>
      </c>
      <c r="AL59" s="253">
        <f t="shared" si="48"/>
        <v>1.5609357869479812</v>
      </c>
      <c r="AN59" s="37">
        <f t="shared" si="54"/>
        <v>51.555568311833596</v>
      </c>
      <c r="AO59" s="37">
        <f t="shared" si="54"/>
        <v>52.483610860286333</v>
      </c>
      <c r="AP59" s="37">
        <f t="shared" si="54"/>
        <v>52.059814088435004</v>
      </c>
      <c r="AQ59" s="37">
        <f t="shared" si="54"/>
        <v>48.811823407927832</v>
      </c>
      <c r="AR59" s="37">
        <f t="shared" si="54"/>
        <v>53.343790600281416</v>
      </c>
      <c r="AS59" s="37">
        <f t="shared" si="54"/>
        <v>46.712749271535145</v>
      </c>
      <c r="AT59" s="37">
        <f t="shared" si="54"/>
        <v>54.549438679444997</v>
      </c>
      <c r="AU59" s="37">
        <f t="shared" si="54"/>
        <v>55.877890834513856</v>
      </c>
      <c r="AV59" s="37">
        <f t="shared" si="54"/>
        <v>49.34835485025198</v>
      </c>
      <c r="AW59" s="37">
        <f t="shared" si="54"/>
        <v>52.227797409912291</v>
      </c>
      <c r="AX59" s="37">
        <f t="shared" si="54"/>
        <v>52.162225906241588</v>
      </c>
      <c r="AY59" s="37">
        <f t="shared" si="54"/>
        <v>52.569694682141254</v>
      </c>
      <c r="AZ59" s="37">
        <f t="shared" si="54"/>
        <v>50.869350781230715</v>
      </c>
      <c r="BA59" s="79"/>
      <c r="BB59" s="253">
        <f t="shared" si="31"/>
        <v>21.951566067505034</v>
      </c>
      <c r="BC59" s="306">
        <f t="shared" si="31"/>
        <v>-16.060574633446922</v>
      </c>
      <c r="BD59" s="253">
        <f t="shared" si="31"/>
        <v>15.376181242624188</v>
      </c>
      <c r="BE59" s="253">
        <f t="shared" si="31"/>
        <v>19.8839143374991</v>
      </c>
      <c r="BF59" s="253" t="s">
        <v>9</v>
      </c>
    </row>
    <row r="60" spans="1:58" ht="11.7" customHeight="1">
      <c r="A60" s="85" t="s">
        <v>32</v>
      </c>
      <c r="B60" s="64">
        <f t="shared" ref="B60:U60" si="57">+B45+B51+B58</f>
        <v>1033244.7000000001</v>
      </c>
      <c r="C60" s="64">
        <f t="shared" si="57"/>
        <v>1170665.3999999999</v>
      </c>
      <c r="D60" s="64">
        <f t="shared" si="57"/>
        <v>1369260.4</v>
      </c>
      <c r="E60" s="64">
        <f t="shared" si="57"/>
        <v>1763591.2</v>
      </c>
      <c r="F60" s="64">
        <f t="shared" si="57"/>
        <v>1832825.2</v>
      </c>
      <c r="G60" s="64">
        <f t="shared" si="57"/>
        <v>1924263.1400000001</v>
      </c>
      <c r="H60" s="64">
        <f t="shared" si="57"/>
        <v>1774066.38</v>
      </c>
      <c r="I60" s="64">
        <f t="shared" si="57"/>
        <v>1907390.6125950001</v>
      </c>
      <c r="J60" s="64">
        <f t="shared" si="57"/>
        <v>2494133.17</v>
      </c>
      <c r="K60" s="64">
        <f t="shared" si="57"/>
        <v>2748961.6100000003</v>
      </c>
      <c r="L60" s="64">
        <f t="shared" si="57"/>
        <v>2774892.13</v>
      </c>
      <c r="M60" s="64">
        <f t="shared" si="57"/>
        <v>3138775.87</v>
      </c>
      <c r="N60" s="64">
        <f t="shared" si="57"/>
        <v>3801066.55</v>
      </c>
      <c r="O60" s="64">
        <f t="shared" si="57"/>
        <v>4754024.5999999996</v>
      </c>
      <c r="P60" s="64">
        <f t="shared" si="57"/>
        <v>4942922.53</v>
      </c>
      <c r="Q60" s="64">
        <f t="shared" si="57"/>
        <v>4870186.41</v>
      </c>
      <c r="R60" s="64">
        <f t="shared" si="57"/>
        <v>5962482.4899999993</v>
      </c>
      <c r="S60" s="64">
        <f t="shared" si="57"/>
        <v>4601981.7964109993</v>
      </c>
      <c r="T60" s="64">
        <f t="shared" si="57"/>
        <v>5856591.2685590005</v>
      </c>
      <c r="U60" s="64">
        <f t="shared" si="57"/>
        <v>6982728.127669001</v>
      </c>
      <c r="V60" s="64" t="s">
        <v>9</v>
      </c>
      <c r="W60" s="39"/>
      <c r="X60" s="65">
        <f t="shared" si="51"/>
        <v>13.299918209113471</v>
      </c>
      <c r="Y60" s="65">
        <f t="shared" si="51"/>
        <v>16.964283731286489</v>
      </c>
      <c r="Z60" s="65">
        <f t="shared" si="51"/>
        <v>28.798817230090059</v>
      </c>
      <c r="AA60" s="65">
        <f t="shared" si="51"/>
        <v>3.9257397065714628</v>
      </c>
      <c r="AB60" s="65">
        <f t="shared" si="51"/>
        <v>4.9889067435345158</v>
      </c>
      <c r="AC60" s="65">
        <f>((H60/G60)-1)*100</f>
        <v>-7.8054168828489923</v>
      </c>
      <c r="AD60" s="254">
        <f t="shared" si="51"/>
        <v>7.515177227754033</v>
      </c>
      <c r="AE60" s="254">
        <f t="shared" si="51"/>
        <v>30.761531147872123</v>
      </c>
      <c r="AF60" s="309">
        <f>((K60/J60)-1)*100</f>
        <v>10.217114429379093</v>
      </c>
      <c r="AG60" s="309">
        <f t="shared" si="51"/>
        <v>0.94328418067648467</v>
      </c>
      <c r="AH60" s="309">
        <f t="shared" si="51"/>
        <v>13.113437314047971</v>
      </c>
      <c r="AI60" s="309">
        <f t="shared" si="51"/>
        <v>21.100285825760466</v>
      </c>
      <c r="AJ60" s="309">
        <f t="shared" si="48"/>
        <v>25.070806771325806</v>
      </c>
      <c r="AK60" s="309">
        <f t="shared" si="48"/>
        <v>3.9734319002051599</v>
      </c>
      <c r="AL60" s="254">
        <f t="shared" si="48"/>
        <v>-1.471520533824755</v>
      </c>
      <c r="AM60" s="286"/>
      <c r="AN60" s="69">
        <f t="shared" si="54"/>
        <v>100</v>
      </c>
      <c r="AO60" s="69">
        <f t="shared" si="54"/>
        <v>100</v>
      </c>
      <c r="AP60" s="69">
        <f t="shared" si="54"/>
        <v>100</v>
      </c>
      <c r="AQ60" s="69">
        <f t="shared" si="54"/>
        <v>100</v>
      </c>
      <c r="AR60" s="69">
        <f t="shared" si="54"/>
        <v>100</v>
      </c>
      <c r="AS60" s="69">
        <f t="shared" si="54"/>
        <v>100</v>
      </c>
      <c r="AT60" s="69">
        <f t="shared" si="54"/>
        <v>100</v>
      </c>
      <c r="AU60" s="69">
        <f t="shared" si="54"/>
        <v>100</v>
      </c>
      <c r="AV60" s="69">
        <f t="shared" si="54"/>
        <v>100</v>
      </c>
      <c r="AW60" s="69">
        <f t="shared" si="54"/>
        <v>100</v>
      </c>
      <c r="AX60" s="69">
        <f t="shared" si="54"/>
        <v>100</v>
      </c>
      <c r="AY60" s="69">
        <f t="shared" si="54"/>
        <v>100</v>
      </c>
      <c r="AZ60" s="69">
        <f t="shared" si="54"/>
        <v>100</v>
      </c>
      <c r="BA60" s="80"/>
      <c r="BB60" s="254">
        <f t="shared" si="31"/>
        <v>22.428219128474769</v>
      </c>
      <c r="BC60" s="308">
        <f t="shared" si="31"/>
        <v>-22.817688703837192</v>
      </c>
      <c r="BD60" s="254">
        <f t="shared" si="31"/>
        <v>27.262373639253589</v>
      </c>
      <c r="BE60" s="254">
        <f t="shared" si="31"/>
        <v>19.228537684636549</v>
      </c>
      <c r="BF60" s="254" t="s">
        <v>9</v>
      </c>
    </row>
    <row r="61" spans="1:58" ht="12.45" customHeight="1">
      <c r="A61" s="384" t="s">
        <v>36</v>
      </c>
      <c r="B61" s="384"/>
      <c r="C61" s="384"/>
      <c r="D61" s="384"/>
      <c r="E61" s="384"/>
      <c r="F61" s="384"/>
      <c r="G61" s="384"/>
      <c r="H61" s="384"/>
      <c r="I61" s="384"/>
      <c r="J61" s="384"/>
      <c r="K61" s="384"/>
      <c r="L61" s="384"/>
      <c r="M61" s="384"/>
      <c r="N61" s="384"/>
      <c r="O61" s="384"/>
      <c r="P61" s="384"/>
      <c r="Q61" s="384"/>
      <c r="R61" s="384"/>
      <c r="S61" s="384"/>
      <c r="T61" s="384"/>
      <c r="U61" s="384"/>
      <c r="V61" s="384"/>
      <c r="W61" s="14"/>
      <c r="X61" s="15"/>
      <c r="Y61" s="15"/>
      <c r="Z61" s="14"/>
      <c r="AA61" s="22" t="s">
        <v>1</v>
      </c>
      <c r="AB61" s="22" t="s">
        <v>1</v>
      </c>
      <c r="AC61" s="13"/>
      <c r="AD61" s="22" t="s">
        <v>1</v>
      </c>
      <c r="AE61" s="2"/>
      <c r="AF61" s="384"/>
      <c r="AG61" s="384"/>
      <c r="AH61" s="384"/>
      <c r="AI61" s="384"/>
      <c r="AJ61" s="384"/>
      <c r="AK61" s="384"/>
      <c r="AL61" s="384"/>
      <c r="AM61" s="384"/>
      <c r="AN61" s="384"/>
      <c r="AO61" s="384"/>
      <c r="AP61" s="384"/>
      <c r="AQ61" s="384"/>
      <c r="AR61" s="384"/>
      <c r="AS61" s="384"/>
      <c r="AT61" s="384"/>
      <c r="AU61" s="384"/>
      <c r="AV61" s="384"/>
      <c r="AW61" s="384"/>
      <c r="AX61" s="384"/>
      <c r="AY61" s="384"/>
      <c r="AZ61" s="384"/>
      <c r="BA61" s="384"/>
      <c r="BB61" s="384"/>
      <c r="BC61" s="384"/>
      <c r="BD61" s="384"/>
      <c r="BE61" s="384"/>
      <c r="BF61" s="384"/>
    </row>
    <row r="62" spans="1:58" ht="11.7" customHeight="1">
      <c r="B62" s="1"/>
      <c r="E62" s="3"/>
      <c r="G62" s="4"/>
      <c r="H62" s="4"/>
      <c r="I62" s="4"/>
      <c r="J62" s="4"/>
      <c r="K62" s="17"/>
      <c r="L62" s="17"/>
      <c r="M62" s="17"/>
      <c r="N62" s="17"/>
      <c r="O62" s="17"/>
      <c r="P62" s="17"/>
      <c r="S62" s="17"/>
      <c r="U62" s="17"/>
      <c r="V62" s="17" t="s">
        <v>2</v>
      </c>
      <c r="W62" s="17"/>
      <c r="X62" s="10"/>
      <c r="Y62" s="10"/>
      <c r="Z62" s="10"/>
      <c r="AA62" s="11"/>
      <c r="AB62" s="10"/>
      <c r="AC62" s="12"/>
      <c r="AD62" s="12"/>
      <c r="AE62" s="12"/>
      <c r="AF62" s="12"/>
      <c r="AG62" s="17"/>
      <c r="AH62" s="17"/>
      <c r="AI62" s="17"/>
      <c r="AK62" s="17"/>
      <c r="AL62" s="17"/>
      <c r="AM62" s="17"/>
      <c r="AS62" s="4"/>
      <c r="AT62" s="4"/>
      <c r="AU62" s="4"/>
      <c r="AV62" s="4"/>
      <c r="AW62" s="17"/>
      <c r="AX62" s="17"/>
      <c r="AY62" s="17"/>
      <c r="AZ62" s="17"/>
      <c r="BA62" s="17"/>
      <c r="BB62" s="17"/>
      <c r="BC62" s="17"/>
      <c r="BE62" s="17"/>
      <c r="BF62" s="17"/>
    </row>
    <row r="63" spans="1:58" ht="11.7" customHeight="1">
      <c r="A63" s="81"/>
      <c r="B63" s="75">
        <v>2535</v>
      </c>
      <c r="C63" s="25">
        <v>2536</v>
      </c>
      <c r="D63" s="25">
        <v>2537</v>
      </c>
      <c r="E63" s="25">
        <v>2538</v>
      </c>
      <c r="F63" s="25">
        <v>2539</v>
      </c>
      <c r="G63" s="25">
        <v>2540</v>
      </c>
      <c r="H63" s="25">
        <v>2541</v>
      </c>
      <c r="I63" s="25">
        <v>2542</v>
      </c>
      <c r="J63" s="25">
        <v>2543</v>
      </c>
      <c r="K63" s="25">
        <v>2544</v>
      </c>
      <c r="L63" s="25">
        <v>2545</v>
      </c>
      <c r="M63" s="75">
        <v>2546</v>
      </c>
      <c r="N63" s="75">
        <v>2547</v>
      </c>
      <c r="O63" s="75">
        <v>2548</v>
      </c>
      <c r="P63" s="75">
        <v>2549</v>
      </c>
      <c r="Q63" s="75">
        <v>2550</v>
      </c>
      <c r="R63" s="107">
        <v>2551</v>
      </c>
      <c r="S63" s="107">
        <v>2552</v>
      </c>
      <c r="T63" s="107">
        <v>2553</v>
      </c>
      <c r="U63" s="107">
        <v>2554</v>
      </c>
      <c r="V63" s="107">
        <v>2555</v>
      </c>
      <c r="W63" s="21"/>
      <c r="X63" s="20">
        <v>2536</v>
      </c>
      <c r="Y63" s="20">
        <v>2537</v>
      </c>
      <c r="Z63" s="20">
        <v>2538</v>
      </c>
      <c r="AA63" s="20">
        <v>2539</v>
      </c>
      <c r="AB63" s="20">
        <v>2540</v>
      </c>
      <c r="AC63" s="20">
        <v>2541</v>
      </c>
      <c r="AD63" s="25">
        <v>2542</v>
      </c>
      <c r="AE63" s="273">
        <v>2543</v>
      </c>
      <c r="AF63" s="99"/>
      <c r="AG63" s="99"/>
      <c r="AH63" s="275"/>
      <c r="AI63" s="275"/>
      <c r="AJ63" s="275"/>
      <c r="AK63" s="275"/>
      <c r="AL63" s="275"/>
      <c r="AM63" s="108"/>
      <c r="AN63" s="275"/>
      <c r="AO63" s="275"/>
      <c r="AP63" s="275"/>
      <c r="AQ63" s="275"/>
      <c r="AR63" s="275"/>
      <c r="AS63" s="275"/>
      <c r="AT63" s="275"/>
      <c r="AU63" s="275"/>
      <c r="AV63" s="275"/>
      <c r="AW63" s="275"/>
      <c r="AX63" s="275"/>
      <c r="AY63" s="275"/>
      <c r="AZ63" s="275"/>
      <c r="BA63" s="275"/>
      <c r="BB63" s="275"/>
      <c r="BC63" s="275"/>
      <c r="BD63" s="275"/>
      <c r="BE63" s="275"/>
      <c r="BF63" s="275"/>
    </row>
    <row r="64" spans="1:58" ht="11.7" customHeight="1">
      <c r="A64" s="82" t="s">
        <v>4</v>
      </c>
      <c r="B64" s="34">
        <f t="shared" ref="B64:U65" si="58">+B4-B34</f>
        <v>-12702.600000000006</v>
      </c>
      <c r="C64" s="34">
        <f t="shared" si="58"/>
        <v>-26193.200000000004</v>
      </c>
      <c r="D64" s="34">
        <f t="shared" si="58"/>
        <v>-24393.099999999991</v>
      </c>
      <c r="E64" s="34">
        <f t="shared" si="58"/>
        <v>-27818.199999999997</v>
      </c>
      <c r="F64" s="34">
        <f t="shared" si="58"/>
        <v>-45855.100000000006</v>
      </c>
      <c r="G64" s="34">
        <f t="shared" si="58"/>
        <v>-39243.840000000011</v>
      </c>
      <c r="H64" s="34">
        <f t="shared" si="58"/>
        <v>45423.420000000013</v>
      </c>
      <c r="I64" s="33">
        <f t="shared" si="58"/>
        <v>19653.53</v>
      </c>
      <c r="J64" s="33">
        <f t="shared" si="58"/>
        <v>43834.34</v>
      </c>
      <c r="K64" s="33">
        <f t="shared" si="58"/>
        <v>-17050.119999999995</v>
      </c>
      <c r="L64" s="33">
        <f t="shared" si="58"/>
        <v>-7768.820000000007</v>
      </c>
      <c r="M64" s="34">
        <f t="shared" si="58"/>
        <v>6684.8199999999779</v>
      </c>
      <c r="N64" s="34">
        <f t="shared" si="58"/>
        <v>4666.9500000000116</v>
      </c>
      <c r="O64" s="34">
        <f t="shared" si="58"/>
        <v>-55304.179999999993</v>
      </c>
      <c r="P64" s="34">
        <f t="shared" si="58"/>
        <v>-22526.489999999991</v>
      </c>
      <c r="Q64" s="34">
        <f t="shared" si="58"/>
        <v>20739.090000000026</v>
      </c>
      <c r="R64" s="34">
        <f t="shared" si="58"/>
        <v>-16507.580000000016</v>
      </c>
      <c r="S64" s="34">
        <f t="shared" si="58"/>
        <v>43642.754496000009</v>
      </c>
      <c r="T64" s="33">
        <f t="shared" si="58"/>
        <v>11338.409999999974</v>
      </c>
      <c r="U64" s="33">
        <f t="shared" si="58"/>
        <v>-50077.778535999998</v>
      </c>
      <c r="V64" s="33">
        <f>+V4-V34</f>
        <v>-41368.729999999981</v>
      </c>
      <c r="W64" s="92"/>
      <c r="X64" s="93">
        <f t="shared" ref="X64:AE83" si="59">((C64/B64)-1)*100</f>
        <v>106.20345441090792</v>
      </c>
      <c r="Y64" s="93">
        <f t="shared" si="59"/>
        <v>-6.8723943618955063</v>
      </c>
      <c r="Z64" s="93">
        <f t="shared" si="59"/>
        <v>14.041265767778622</v>
      </c>
      <c r="AA64" s="93">
        <f t="shared" si="59"/>
        <v>64.838487033668628</v>
      </c>
      <c r="AB64" s="93">
        <f t="shared" si="59"/>
        <v>-14.41772016635008</v>
      </c>
      <c r="AC64" s="93">
        <f t="shared" si="59"/>
        <v>-215.74662418356613</v>
      </c>
      <c r="AD64" s="73">
        <f t="shared" si="59"/>
        <v>-56.732606219434835</v>
      </c>
      <c r="AE64" s="274">
        <f t="shared" si="59"/>
        <v>123.03545469948656</v>
      </c>
      <c r="AF64" s="276"/>
      <c r="AG64" s="277"/>
      <c r="AH64" s="277"/>
      <c r="AI64" s="277"/>
      <c r="AJ64" s="278"/>
      <c r="AK64" s="277"/>
      <c r="AL64" s="77"/>
      <c r="AY64" s="77"/>
      <c r="AZ64" s="77"/>
      <c r="BB64" s="77"/>
      <c r="BC64" s="77"/>
      <c r="BD64" s="77"/>
      <c r="BE64" s="77"/>
      <c r="BF64" s="279"/>
    </row>
    <row r="65" spans="1:58" ht="11.7" customHeight="1">
      <c r="A65" s="82" t="s">
        <v>5</v>
      </c>
      <c r="B65" s="34">
        <f t="shared" si="58"/>
        <v>-16219.899999999994</v>
      </c>
      <c r="C65" s="34">
        <f t="shared" si="58"/>
        <v>-17974</v>
      </c>
      <c r="D65" s="34">
        <f t="shared" si="58"/>
        <v>-19611.199999999997</v>
      </c>
      <c r="E65" s="34">
        <f t="shared" si="58"/>
        <v>-26914.399999999994</v>
      </c>
      <c r="F65" s="34">
        <f t="shared" si="58"/>
        <v>-27438.299999999988</v>
      </c>
      <c r="G65" s="34">
        <f t="shared" si="58"/>
        <v>-28511.229999999996</v>
      </c>
      <c r="H65" s="34">
        <f t="shared" si="58"/>
        <v>51747.569999999978</v>
      </c>
      <c r="I65" s="34">
        <f t="shared" si="58"/>
        <v>20154.089999999997</v>
      </c>
      <c r="J65" s="34">
        <f t="shared" si="58"/>
        <v>13655.130000000005</v>
      </c>
      <c r="K65" s="34">
        <f t="shared" si="58"/>
        <v>1025.3500000000058</v>
      </c>
      <c r="L65" s="34">
        <f t="shared" si="58"/>
        <v>20916.430000000022</v>
      </c>
      <c r="M65" s="34">
        <f t="shared" si="58"/>
        <v>26598.880000000005</v>
      </c>
      <c r="N65" s="34">
        <f t="shared" si="58"/>
        <v>21317.799999999988</v>
      </c>
      <c r="O65" s="34">
        <f t="shared" si="58"/>
        <v>-20170.929999999993</v>
      </c>
      <c r="P65" s="34">
        <f t="shared" si="58"/>
        <v>-15269.119999999995</v>
      </c>
      <c r="Q65" s="34">
        <f t="shared" si="58"/>
        <v>28795.400000000023</v>
      </c>
      <c r="R65" s="34">
        <f>+R5-R35</f>
        <v>-19011.320000000007</v>
      </c>
      <c r="S65" s="34">
        <f>+S5-S35</f>
        <v>119668.80849299999</v>
      </c>
      <c r="T65" s="34">
        <f>+T5-T35</f>
        <v>8090.2399999999907</v>
      </c>
      <c r="U65" s="34">
        <f>+U5-U35</f>
        <v>31863.573048999999</v>
      </c>
      <c r="V65" s="34">
        <f>+V5-V35</f>
        <v>9700.3499999999767</v>
      </c>
      <c r="W65" s="92"/>
      <c r="X65" s="93">
        <f t="shared" si="59"/>
        <v>10.814493307603668</v>
      </c>
      <c r="Y65" s="93">
        <f t="shared" si="59"/>
        <v>9.1087125848447581</v>
      </c>
      <c r="Z65" s="93">
        <f t="shared" si="59"/>
        <v>37.239944521497904</v>
      </c>
      <c r="AA65" s="93">
        <f t="shared" si="59"/>
        <v>1.9465416282733239</v>
      </c>
      <c r="AB65" s="93">
        <f t="shared" si="59"/>
        <v>3.9103370106748914</v>
      </c>
      <c r="AC65" s="93">
        <f t="shared" si="59"/>
        <v>-281.49890411602723</v>
      </c>
      <c r="AD65" s="73">
        <f t="shared" si="59"/>
        <v>-61.053069738347119</v>
      </c>
      <c r="AE65" s="274">
        <f t="shared" si="59"/>
        <v>-32.246357935287541</v>
      </c>
      <c r="AF65" s="277"/>
      <c r="AG65" s="278"/>
      <c r="AH65" s="277"/>
      <c r="AI65" s="277"/>
      <c r="AJ65" s="277"/>
      <c r="AK65" s="277"/>
      <c r="AL65" s="277"/>
      <c r="AY65" s="77"/>
      <c r="AZ65" s="77"/>
      <c r="BB65" s="77"/>
      <c r="BC65" s="77"/>
      <c r="BD65" s="77"/>
      <c r="BE65" s="77"/>
      <c r="BF65" s="279"/>
    </row>
    <row r="66" spans="1:58" ht="8.5500000000000007" hidden="1" customHeight="1">
      <c r="A66" s="83" t="s">
        <v>6</v>
      </c>
      <c r="B66" s="38">
        <f t="shared" ref="B66:R66" si="60">+B64+B65</f>
        <v>-28922.5</v>
      </c>
      <c r="C66" s="38">
        <f t="shared" si="60"/>
        <v>-44167.200000000004</v>
      </c>
      <c r="D66" s="38">
        <f t="shared" si="60"/>
        <v>-44004.299999999988</v>
      </c>
      <c r="E66" s="38">
        <f t="shared" si="60"/>
        <v>-54732.599999999991</v>
      </c>
      <c r="F66" s="38">
        <f t="shared" si="60"/>
        <v>-73293.399999999994</v>
      </c>
      <c r="G66" s="38">
        <f t="shared" si="60"/>
        <v>-67755.070000000007</v>
      </c>
      <c r="H66" s="38">
        <f t="shared" si="60"/>
        <v>97170.989999999991</v>
      </c>
      <c r="I66" s="38">
        <f t="shared" si="60"/>
        <v>39807.619999999995</v>
      </c>
      <c r="J66" s="38">
        <f t="shared" si="60"/>
        <v>57489.47</v>
      </c>
      <c r="K66" s="38">
        <f t="shared" si="60"/>
        <v>-16024.76999999999</v>
      </c>
      <c r="L66" s="38">
        <f t="shared" si="60"/>
        <v>13147.610000000015</v>
      </c>
      <c r="M66" s="38">
        <f t="shared" si="60"/>
        <v>33283.699999999983</v>
      </c>
      <c r="N66" s="38">
        <f t="shared" si="60"/>
        <v>25984.75</v>
      </c>
      <c r="O66" s="38">
        <f t="shared" si="60"/>
        <v>-75475.109999999986</v>
      </c>
      <c r="P66" s="38">
        <f t="shared" si="60"/>
        <v>-37795.609999999986</v>
      </c>
      <c r="Q66" s="38">
        <f t="shared" si="60"/>
        <v>49534.490000000049</v>
      </c>
      <c r="R66" s="38">
        <f t="shared" si="60"/>
        <v>-35518.900000000023</v>
      </c>
      <c r="S66" s="34">
        <f t="shared" ref="S66:V67" si="61">+S6-S36</f>
        <v>163311.562989</v>
      </c>
      <c r="T66" s="34">
        <f t="shared" si="61"/>
        <v>19428.650000000023</v>
      </c>
      <c r="U66" s="34">
        <f t="shared" si="61"/>
        <v>-18214.205487000057</v>
      </c>
      <c r="V66" s="34">
        <f t="shared" si="61"/>
        <v>-31668.380000000121</v>
      </c>
      <c r="W66" s="94"/>
      <c r="X66" s="95">
        <f t="shared" si="59"/>
        <v>52.708790733857747</v>
      </c>
      <c r="Y66" s="95">
        <f t="shared" si="59"/>
        <v>-0.36882573493455251</v>
      </c>
      <c r="Z66" s="95">
        <f t="shared" si="59"/>
        <v>24.380117397617983</v>
      </c>
      <c r="AA66" s="95">
        <f t="shared" si="59"/>
        <v>33.911782009259575</v>
      </c>
      <c r="AB66" s="95">
        <f t="shared" si="59"/>
        <v>-7.556382975820453</v>
      </c>
      <c r="AC66" s="95">
        <f t="shared" si="59"/>
        <v>-243.41508318122908</v>
      </c>
      <c r="AD66" s="306">
        <f t="shared" si="59"/>
        <v>-59.033431685732538</v>
      </c>
      <c r="AE66" s="310">
        <f t="shared" si="59"/>
        <v>44.418254595476967</v>
      </c>
      <c r="AF66" s="311"/>
      <c r="AG66" s="311"/>
      <c r="AH66" s="312"/>
      <c r="AI66" s="312"/>
      <c r="AJ66" s="312"/>
      <c r="AK66" s="312"/>
      <c r="AL66" s="312"/>
      <c r="AY66" s="77"/>
      <c r="AZ66" s="77"/>
      <c r="BB66" s="265"/>
      <c r="BC66" s="77"/>
      <c r="BD66" s="265"/>
      <c r="BE66" s="265"/>
      <c r="BF66" s="279"/>
    </row>
    <row r="67" spans="1:58" ht="11.7" customHeight="1">
      <c r="A67" s="82" t="s">
        <v>7</v>
      </c>
      <c r="B67" s="34">
        <f t="shared" ref="B67:P67" si="62">+B7-B37</f>
        <v>-16502.800000000003</v>
      </c>
      <c r="C67" s="34">
        <f t="shared" si="62"/>
        <v>-27187.899999999994</v>
      </c>
      <c r="D67" s="34">
        <f t="shared" si="62"/>
        <v>-15222.600000000006</v>
      </c>
      <c r="E67" s="34">
        <f t="shared" si="62"/>
        <v>-28436.899999999994</v>
      </c>
      <c r="F67" s="34">
        <f t="shared" si="62"/>
        <v>-39792.199999999983</v>
      </c>
      <c r="G67" s="34">
        <f t="shared" si="62"/>
        <v>-23602.939999999988</v>
      </c>
      <c r="H67" s="34">
        <f t="shared" si="62"/>
        <v>33906.73000000001</v>
      </c>
      <c r="I67" s="34">
        <f t="shared" si="62"/>
        <v>17452.660000000003</v>
      </c>
      <c r="J67" s="34">
        <f t="shared" si="62"/>
        <v>38470.109999999986</v>
      </c>
      <c r="K67" s="34">
        <f t="shared" si="62"/>
        <v>11823.540000000008</v>
      </c>
      <c r="L67" s="34">
        <f t="shared" si="62"/>
        <v>16615.380000000005</v>
      </c>
      <c r="M67" s="34">
        <f t="shared" si="62"/>
        <v>19779.610000000044</v>
      </c>
      <c r="N67" s="34">
        <f t="shared" si="62"/>
        <v>-13730.080000000016</v>
      </c>
      <c r="O67" s="34">
        <f t="shared" si="62"/>
        <v>-42545.409999999974</v>
      </c>
      <c r="P67" s="34">
        <f t="shared" si="62"/>
        <v>8175.5100000000093</v>
      </c>
      <c r="Q67" s="34">
        <f>+Q7-Q37</f>
        <v>64033.799999999988</v>
      </c>
      <c r="R67" s="34">
        <f>+R7-R37</f>
        <v>9562.039999999979</v>
      </c>
      <c r="S67" s="34">
        <f t="shared" si="61"/>
        <v>69339.621672000038</v>
      </c>
      <c r="T67" s="34">
        <f t="shared" si="61"/>
        <v>20342.713228000037</v>
      </c>
      <c r="U67" s="34">
        <f t="shared" si="61"/>
        <v>35480.587249999982</v>
      </c>
      <c r="V67" s="34">
        <f t="shared" si="61"/>
        <v>-149320.16000000003</v>
      </c>
      <c r="W67" s="92"/>
      <c r="X67" s="93">
        <f t="shared" si="59"/>
        <v>64.747194415493055</v>
      </c>
      <c r="Y67" s="93">
        <f t="shared" si="59"/>
        <v>-44.009651352255929</v>
      </c>
      <c r="Z67" s="93">
        <f t="shared" si="59"/>
        <v>86.807115735813738</v>
      </c>
      <c r="AA67" s="93">
        <f t="shared" si="59"/>
        <v>39.931567786924703</v>
      </c>
      <c r="AB67" s="93">
        <f t="shared" si="59"/>
        <v>-40.684506008715282</v>
      </c>
      <c r="AC67" s="93">
        <f t="shared" si="59"/>
        <v>-243.65468878029611</v>
      </c>
      <c r="AD67" s="73">
        <f t="shared" si="59"/>
        <v>-48.527445731275186</v>
      </c>
      <c r="AE67" s="274">
        <f t="shared" si="59"/>
        <v>120.42548241929869</v>
      </c>
      <c r="AF67" s="277"/>
      <c r="AG67" s="277"/>
      <c r="AH67" s="277"/>
      <c r="AI67" s="277"/>
      <c r="AJ67" s="277"/>
      <c r="AK67" s="277"/>
      <c r="AL67" s="77"/>
      <c r="BB67" s="77"/>
      <c r="BC67" s="77"/>
      <c r="BD67" s="77"/>
      <c r="BE67" s="77"/>
      <c r="BF67" s="279"/>
    </row>
    <row r="68" spans="1:58" ht="11.7" customHeight="1">
      <c r="A68" s="84" t="s">
        <v>8</v>
      </c>
      <c r="B68" s="38">
        <f t="shared" ref="B68:V68" si="63">+B64+B65+B67</f>
        <v>-45425.3</v>
      </c>
      <c r="C68" s="38">
        <f t="shared" si="63"/>
        <v>-71355.100000000006</v>
      </c>
      <c r="D68" s="38">
        <f t="shared" si="63"/>
        <v>-59226.899999999994</v>
      </c>
      <c r="E68" s="38">
        <f t="shared" si="63"/>
        <v>-83169.499999999985</v>
      </c>
      <c r="F68" s="38">
        <f t="shared" si="63"/>
        <v>-113085.59999999998</v>
      </c>
      <c r="G68" s="38">
        <f t="shared" si="63"/>
        <v>-91358.01</v>
      </c>
      <c r="H68" s="38">
        <f t="shared" si="63"/>
        <v>131077.72</v>
      </c>
      <c r="I68" s="38">
        <f t="shared" si="63"/>
        <v>57260.28</v>
      </c>
      <c r="J68" s="38">
        <f t="shared" si="63"/>
        <v>95959.579999999987</v>
      </c>
      <c r="K68" s="38">
        <f t="shared" si="63"/>
        <v>-4201.2299999999814</v>
      </c>
      <c r="L68" s="38">
        <f t="shared" si="63"/>
        <v>29762.99000000002</v>
      </c>
      <c r="M68" s="38">
        <f t="shared" si="63"/>
        <v>53063.310000000027</v>
      </c>
      <c r="N68" s="38">
        <f t="shared" si="63"/>
        <v>12254.669999999984</v>
      </c>
      <c r="O68" s="38">
        <f t="shared" si="63"/>
        <v>-118020.51999999996</v>
      </c>
      <c r="P68" s="38">
        <f t="shared" si="63"/>
        <v>-29620.099999999977</v>
      </c>
      <c r="Q68" s="38">
        <f t="shared" si="63"/>
        <v>113568.29000000004</v>
      </c>
      <c r="R68" s="38">
        <f t="shared" si="63"/>
        <v>-25956.860000000044</v>
      </c>
      <c r="S68" s="38">
        <f t="shared" si="63"/>
        <v>232651.18466100004</v>
      </c>
      <c r="T68" s="38">
        <f t="shared" si="63"/>
        <v>39771.363228000002</v>
      </c>
      <c r="U68" s="38">
        <f t="shared" si="63"/>
        <v>17266.381762999983</v>
      </c>
      <c r="V68" s="38">
        <f t="shared" si="63"/>
        <v>-180988.54000000004</v>
      </c>
      <c r="W68" s="94"/>
      <c r="X68" s="95">
        <f t="shared" si="59"/>
        <v>57.082286743290631</v>
      </c>
      <c r="Y68" s="95">
        <f t="shared" si="59"/>
        <v>-16.996963076220219</v>
      </c>
      <c r="Z68" s="95">
        <f t="shared" si="59"/>
        <v>40.425212192432824</v>
      </c>
      <c r="AA68" s="95">
        <f t="shared" si="59"/>
        <v>35.970037092924677</v>
      </c>
      <c r="AB68" s="95">
        <f t="shared" si="59"/>
        <v>-19.213401175746505</v>
      </c>
      <c r="AC68" s="95">
        <f t="shared" si="59"/>
        <v>-243.47698685643437</v>
      </c>
      <c r="AD68" s="306">
        <f t="shared" si="59"/>
        <v>-56.315779676363007</v>
      </c>
      <c r="AE68" s="310">
        <f t="shared" si="59"/>
        <v>67.584894799676135</v>
      </c>
      <c r="AF68" s="311"/>
      <c r="AG68" s="311"/>
      <c r="AH68" s="312"/>
      <c r="AI68" s="312"/>
      <c r="AJ68" s="313"/>
      <c r="AK68" s="312"/>
      <c r="AL68" s="265"/>
      <c r="BB68" s="265"/>
      <c r="BC68" s="314"/>
      <c r="BD68" s="265"/>
      <c r="BE68" s="265"/>
      <c r="BF68" s="315"/>
    </row>
    <row r="69" spans="1:58" ht="11.7" customHeight="1">
      <c r="A69" s="82" t="s">
        <v>10</v>
      </c>
      <c r="B69" s="34">
        <f t="shared" ref="B69:Q69" si="64">+B9-B39</f>
        <v>-19189.600000000006</v>
      </c>
      <c r="C69" s="34">
        <f t="shared" si="64"/>
        <v>-30444.5</v>
      </c>
      <c r="D69" s="34">
        <f t="shared" si="64"/>
        <v>-18700.300000000003</v>
      </c>
      <c r="E69" s="34">
        <f t="shared" si="64"/>
        <v>-27070.599999999991</v>
      </c>
      <c r="F69" s="34">
        <f t="shared" si="64"/>
        <v>-53141.200000000012</v>
      </c>
      <c r="G69" s="34">
        <f t="shared" si="64"/>
        <v>-37068.530000000013</v>
      </c>
      <c r="H69" s="34">
        <f t="shared" si="64"/>
        <v>25494.28</v>
      </c>
      <c r="I69" s="34">
        <f t="shared" si="64"/>
        <v>28493.959999999992</v>
      </c>
      <c r="J69" s="34">
        <f t="shared" si="64"/>
        <v>17067.549999999988</v>
      </c>
      <c r="K69" s="34">
        <f t="shared" si="64"/>
        <v>-4723.1399999999849</v>
      </c>
      <c r="L69" s="34">
        <f t="shared" si="64"/>
        <v>-12346.51999999999</v>
      </c>
      <c r="M69" s="34">
        <f t="shared" si="64"/>
        <v>5663.75</v>
      </c>
      <c r="N69" s="34">
        <f t="shared" si="64"/>
        <v>-13449.539999999979</v>
      </c>
      <c r="O69" s="34">
        <f t="shared" si="64"/>
        <v>-58974.73000000004</v>
      </c>
      <c r="P69" s="34">
        <f t="shared" si="64"/>
        <v>-25227.349999999977</v>
      </c>
      <c r="Q69" s="34">
        <f t="shared" si="64"/>
        <v>-1198.3699999999953</v>
      </c>
      <c r="R69" s="34">
        <f>+R9-R39</f>
        <v>-46597.679999999993</v>
      </c>
      <c r="S69" s="34">
        <f>+S9-S39</f>
        <v>18022.011513000005</v>
      </c>
      <c r="T69" s="34">
        <f>+T9-T39</f>
        <v>-21428.541787000024</v>
      </c>
      <c r="U69" s="34">
        <f>+U9-U39</f>
        <v>-39650.750523999974</v>
      </c>
      <c r="V69" s="34">
        <f>+V9-V39</f>
        <v>-95020.419999999984</v>
      </c>
      <c r="W69" s="92"/>
      <c r="X69" s="93">
        <f t="shared" si="59"/>
        <v>58.651040146746112</v>
      </c>
      <c r="Y69" s="93">
        <f t="shared" si="59"/>
        <v>-38.575769022319292</v>
      </c>
      <c r="Z69" s="93">
        <f t="shared" si="59"/>
        <v>44.760244488056266</v>
      </c>
      <c r="AA69" s="93">
        <f t="shared" si="59"/>
        <v>96.305955538480958</v>
      </c>
      <c r="AB69" s="93">
        <f t="shared" si="59"/>
        <v>-30.245214635725194</v>
      </c>
      <c r="AC69" s="93">
        <f t="shared" si="59"/>
        <v>-168.77607501565342</v>
      </c>
      <c r="AD69" s="73">
        <f t="shared" si="59"/>
        <v>11.766090275936381</v>
      </c>
      <c r="AE69" s="274">
        <f t="shared" si="59"/>
        <v>-40.101165299593347</v>
      </c>
      <c r="AF69" s="276"/>
      <c r="AG69" s="277"/>
      <c r="AH69" s="277"/>
      <c r="AI69" s="277"/>
      <c r="AJ69" s="277"/>
      <c r="AK69" s="277"/>
      <c r="AL69" s="77"/>
      <c r="BB69" s="280"/>
      <c r="BC69" s="77"/>
      <c r="BD69" s="77"/>
      <c r="BE69" s="77"/>
      <c r="BF69" s="279"/>
    </row>
    <row r="70" spans="1:58" ht="8.5500000000000007" hidden="1" customHeight="1">
      <c r="A70" s="304" t="s">
        <v>11</v>
      </c>
      <c r="B70" s="252">
        <f t="shared" ref="B70:U70" si="65">+B68+B69</f>
        <v>-64614.900000000009</v>
      </c>
      <c r="C70" s="252">
        <f t="shared" si="65"/>
        <v>-101799.6</v>
      </c>
      <c r="D70" s="252">
        <f t="shared" si="65"/>
        <v>-77927.199999999997</v>
      </c>
      <c r="E70" s="252">
        <f t="shared" si="65"/>
        <v>-110240.09999999998</v>
      </c>
      <c r="F70" s="252">
        <f t="shared" si="65"/>
        <v>-166226.79999999999</v>
      </c>
      <c r="G70" s="252">
        <f t="shared" si="65"/>
        <v>-128426.54000000001</v>
      </c>
      <c r="H70" s="252">
        <f t="shared" si="65"/>
        <v>156572</v>
      </c>
      <c r="I70" s="252">
        <f t="shared" si="65"/>
        <v>85754.239999999991</v>
      </c>
      <c r="J70" s="252">
        <f t="shared" si="65"/>
        <v>113027.12999999998</v>
      </c>
      <c r="K70" s="252">
        <f t="shared" si="65"/>
        <v>-8924.3699999999662</v>
      </c>
      <c r="L70" s="252">
        <f t="shared" si="65"/>
        <v>17416.47000000003</v>
      </c>
      <c r="M70" s="252">
        <f t="shared" si="65"/>
        <v>58727.060000000027</v>
      </c>
      <c r="N70" s="252">
        <f t="shared" si="65"/>
        <v>-1194.8699999999953</v>
      </c>
      <c r="O70" s="252">
        <f t="shared" si="65"/>
        <v>-176995.25</v>
      </c>
      <c r="P70" s="252">
        <f t="shared" si="65"/>
        <v>-54847.449999999953</v>
      </c>
      <c r="Q70" s="252">
        <f t="shared" si="65"/>
        <v>112369.92000000004</v>
      </c>
      <c r="R70" s="252">
        <f t="shared" si="65"/>
        <v>-72554.540000000037</v>
      </c>
      <c r="S70" s="252">
        <f t="shared" si="65"/>
        <v>250673.19617400004</v>
      </c>
      <c r="T70" s="252">
        <f t="shared" si="65"/>
        <v>18342.821440999978</v>
      </c>
      <c r="U70" s="252">
        <f t="shared" si="65"/>
        <v>-22384.368760999991</v>
      </c>
      <c r="V70" s="252">
        <f>+V68+V69</f>
        <v>-276008.96000000002</v>
      </c>
      <c r="W70" s="94"/>
      <c r="X70" s="95">
        <f t="shared" si="59"/>
        <v>57.548181611362082</v>
      </c>
      <c r="Y70" s="95">
        <f t="shared" si="59"/>
        <v>-23.450386838455174</v>
      </c>
      <c r="Z70" s="95">
        <f t="shared" si="59"/>
        <v>41.465496001396154</v>
      </c>
      <c r="AA70" s="95">
        <f t="shared" si="59"/>
        <v>50.78614769035952</v>
      </c>
      <c r="AB70" s="95">
        <f t="shared" si="59"/>
        <v>-22.740171861577064</v>
      </c>
      <c r="AC70" s="95">
        <f t="shared" si="59"/>
        <v>-221.91561027806247</v>
      </c>
      <c r="AD70" s="306">
        <f t="shared" si="59"/>
        <v>-45.230156094320826</v>
      </c>
      <c r="AE70" s="310">
        <f t="shared" si="59"/>
        <v>31.803546973304165</v>
      </c>
      <c r="AF70" s="311"/>
      <c r="AG70" s="311"/>
      <c r="AH70" s="312"/>
      <c r="AI70" s="312"/>
      <c r="AJ70" s="313"/>
      <c r="AK70" s="312"/>
      <c r="AL70" s="265"/>
      <c r="BB70" s="265"/>
      <c r="BC70" s="265"/>
      <c r="BD70" s="265"/>
      <c r="BE70" s="265"/>
      <c r="BF70" s="316"/>
    </row>
    <row r="71" spans="1:58" ht="11.7" customHeight="1">
      <c r="A71" s="82" t="s">
        <v>12</v>
      </c>
      <c r="B71" s="34">
        <f t="shared" ref="B71:Q71" si="66">+B11-B41</f>
        <v>-13252.800000000003</v>
      </c>
      <c r="C71" s="34">
        <f t="shared" si="66"/>
        <v>-22519</v>
      </c>
      <c r="D71" s="34">
        <f t="shared" si="66"/>
        <v>-18506.5</v>
      </c>
      <c r="E71" s="34">
        <f t="shared" si="66"/>
        <v>-35866.700000000012</v>
      </c>
      <c r="F71" s="34">
        <f t="shared" si="66"/>
        <v>-38138.499999999985</v>
      </c>
      <c r="G71" s="34">
        <f t="shared" si="66"/>
        <v>-15931.720000000001</v>
      </c>
      <c r="H71" s="34">
        <f t="shared" si="66"/>
        <v>34738.479999999981</v>
      </c>
      <c r="I71" s="34">
        <f t="shared" si="66"/>
        <v>41609.060000000012</v>
      </c>
      <c r="J71" s="34">
        <f t="shared" si="66"/>
        <v>21209.78</v>
      </c>
      <c r="K71" s="34">
        <f t="shared" si="66"/>
        <v>18449.739999999991</v>
      </c>
      <c r="L71" s="34">
        <f t="shared" si="66"/>
        <v>26700.729999999981</v>
      </c>
      <c r="M71" s="34">
        <f t="shared" si="66"/>
        <v>30508.860000000015</v>
      </c>
      <c r="N71" s="34">
        <f t="shared" si="66"/>
        <v>1465.7400000000489</v>
      </c>
      <c r="O71" s="34">
        <f t="shared" si="66"/>
        <v>-67802.399999999965</v>
      </c>
      <c r="P71" s="34">
        <f t="shared" si="66"/>
        <v>-29095.619999999995</v>
      </c>
      <c r="Q71" s="34">
        <f t="shared" si="66"/>
        <v>13369.910000000033</v>
      </c>
      <c r="R71" s="34">
        <f>+R11-R41</f>
        <v>48671.669999999984</v>
      </c>
      <c r="S71" s="34">
        <f>+S11-S41</f>
        <v>81198.900544000033</v>
      </c>
      <c r="T71" s="34">
        <f>+T11-T41</f>
        <v>65429.510000000009</v>
      </c>
      <c r="U71" s="34">
        <f>+U11-U41</f>
        <v>-12890.244585999986</v>
      </c>
      <c r="V71" s="34">
        <f>+V11-V41</f>
        <v>-61893.859999999986</v>
      </c>
      <c r="W71" s="94"/>
      <c r="X71" s="95">
        <f t="shared" si="59"/>
        <v>69.918809610044647</v>
      </c>
      <c r="Y71" s="95">
        <f t="shared" si="59"/>
        <v>-17.818286780052397</v>
      </c>
      <c r="Z71" s="95">
        <f t="shared" si="59"/>
        <v>93.805960068084261</v>
      </c>
      <c r="AA71" s="95">
        <f t="shared" si="59"/>
        <v>6.3340089832629509</v>
      </c>
      <c r="AB71" s="95">
        <f t="shared" si="59"/>
        <v>-58.226673833527776</v>
      </c>
      <c r="AC71" s="95">
        <f t="shared" si="59"/>
        <v>-318.04601135345069</v>
      </c>
      <c r="AD71" s="306">
        <f t="shared" si="59"/>
        <v>19.778009861110888</v>
      </c>
      <c r="AE71" s="310">
        <f t="shared" si="59"/>
        <v>-49.026053460472326</v>
      </c>
      <c r="AF71" s="312"/>
      <c r="AG71" s="312"/>
      <c r="AH71" s="277"/>
      <c r="AI71" s="277"/>
      <c r="AJ71" s="278"/>
      <c r="AK71" s="277"/>
      <c r="AL71" s="77"/>
      <c r="BB71" s="77"/>
      <c r="BC71" s="77"/>
      <c r="BD71" s="77"/>
      <c r="BE71" s="77"/>
      <c r="BF71" s="281"/>
    </row>
    <row r="72" spans="1:58" ht="8.5500000000000007" hidden="1" customHeight="1">
      <c r="A72" s="304" t="s">
        <v>13</v>
      </c>
      <c r="B72" s="252">
        <f t="shared" ref="B72:U72" si="67">+B68+B69+B71</f>
        <v>-77867.700000000012</v>
      </c>
      <c r="C72" s="252">
        <f t="shared" si="67"/>
        <v>-124318.6</v>
      </c>
      <c r="D72" s="252">
        <f t="shared" si="67"/>
        <v>-96433.7</v>
      </c>
      <c r="E72" s="252">
        <f t="shared" si="67"/>
        <v>-146106.79999999999</v>
      </c>
      <c r="F72" s="252">
        <f t="shared" si="67"/>
        <v>-204365.3</v>
      </c>
      <c r="G72" s="252">
        <f t="shared" si="67"/>
        <v>-144358.26</v>
      </c>
      <c r="H72" s="252">
        <f t="shared" si="67"/>
        <v>191310.47999999998</v>
      </c>
      <c r="I72" s="252">
        <f t="shared" si="67"/>
        <v>127363.3</v>
      </c>
      <c r="J72" s="252">
        <f t="shared" si="67"/>
        <v>134236.90999999997</v>
      </c>
      <c r="K72" s="252">
        <f t="shared" si="67"/>
        <v>9525.3700000000244</v>
      </c>
      <c r="L72" s="252">
        <f t="shared" si="67"/>
        <v>44117.200000000012</v>
      </c>
      <c r="M72" s="252">
        <f t="shared" si="67"/>
        <v>89235.920000000042</v>
      </c>
      <c r="N72" s="252">
        <f t="shared" si="67"/>
        <v>270.87000000005355</v>
      </c>
      <c r="O72" s="252">
        <f t="shared" si="67"/>
        <v>-244797.64999999997</v>
      </c>
      <c r="P72" s="252">
        <f t="shared" si="67"/>
        <v>-83943.069999999949</v>
      </c>
      <c r="Q72" s="252">
        <f t="shared" si="67"/>
        <v>125739.83000000007</v>
      </c>
      <c r="R72" s="252">
        <f t="shared" si="67"/>
        <v>-23882.870000000054</v>
      </c>
      <c r="S72" s="252">
        <f t="shared" si="67"/>
        <v>331872.09671800007</v>
      </c>
      <c r="T72" s="252">
        <f t="shared" si="67"/>
        <v>83772.331440999988</v>
      </c>
      <c r="U72" s="252">
        <f t="shared" si="67"/>
        <v>-35274.613346999977</v>
      </c>
      <c r="V72" s="34">
        <f t="shared" ref="V72:V73" si="68">+V12-V42</f>
        <v>-337902.81999999983</v>
      </c>
      <c r="W72" s="94"/>
      <c r="X72" s="95">
        <f t="shared" si="59"/>
        <v>59.653617610382724</v>
      </c>
      <c r="Y72" s="95">
        <f t="shared" si="59"/>
        <v>-22.430191459685044</v>
      </c>
      <c r="Z72" s="95">
        <f t="shared" si="59"/>
        <v>51.510104869978022</v>
      </c>
      <c r="AA72" s="95">
        <f t="shared" si="59"/>
        <v>39.873914150470746</v>
      </c>
      <c r="AB72" s="95">
        <f t="shared" si="59"/>
        <v>-29.362636416260479</v>
      </c>
      <c r="AC72" s="95">
        <f t="shared" si="59"/>
        <v>-232.52478936778536</v>
      </c>
      <c r="AD72" s="306">
        <f t="shared" si="59"/>
        <v>-33.425863549137503</v>
      </c>
      <c r="AE72" s="310">
        <f t="shared" si="59"/>
        <v>5.3968529395830522</v>
      </c>
      <c r="AF72" s="312"/>
      <c r="AG72" s="312"/>
      <c r="AH72" s="312"/>
      <c r="AI72" s="312"/>
      <c r="AJ72" s="313"/>
      <c r="AK72" s="312"/>
      <c r="AL72" s="265"/>
      <c r="BB72" s="265"/>
      <c r="BC72" s="314"/>
      <c r="BD72" s="265"/>
      <c r="BE72" s="265"/>
      <c r="BF72" s="281"/>
    </row>
    <row r="73" spans="1:58" ht="11.7" customHeight="1">
      <c r="A73" s="82" t="s">
        <v>14</v>
      </c>
      <c r="B73" s="34">
        <f t="shared" ref="B73:P73" si="69">+B13-B43</f>
        <v>-24634</v>
      </c>
      <c r="C73" s="34">
        <f t="shared" si="69"/>
        <v>-17733.399999999994</v>
      </c>
      <c r="D73" s="34">
        <f t="shared" si="69"/>
        <v>-25605.699999999997</v>
      </c>
      <c r="E73" s="34">
        <f t="shared" si="69"/>
        <v>-28516.900000000009</v>
      </c>
      <c r="F73" s="34">
        <f t="shared" si="69"/>
        <v>-34643.5</v>
      </c>
      <c r="G73" s="34">
        <f t="shared" si="69"/>
        <v>-29385.08</v>
      </c>
      <c r="H73" s="34">
        <f t="shared" si="69"/>
        <v>37686.869999999995</v>
      </c>
      <c r="I73" s="34">
        <f t="shared" si="69"/>
        <v>5245.390000000014</v>
      </c>
      <c r="J73" s="34">
        <f t="shared" si="69"/>
        <v>2250.9700000000012</v>
      </c>
      <c r="K73" s="34">
        <f t="shared" si="69"/>
        <v>30393.559999999998</v>
      </c>
      <c r="L73" s="34">
        <f t="shared" si="69"/>
        <v>20568.449999999983</v>
      </c>
      <c r="M73" s="34">
        <f t="shared" si="69"/>
        <v>30500.99000000002</v>
      </c>
      <c r="N73" s="34">
        <f t="shared" si="69"/>
        <v>4780.4400000000023</v>
      </c>
      <c r="O73" s="34">
        <f t="shared" si="69"/>
        <v>-73235.600000000035</v>
      </c>
      <c r="P73" s="34">
        <f t="shared" si="69"/>
        <v>-21091.180000000051</v>
      </c>
      <c r="Q73" s="34">
        <f>+Q13-Q43</f>
        <v>24330.100000000035</v>
      </c>
      <c r="R73" s="34">
        <f>+R13-R43</f>
        <v>11831.679999999993</v>
      </c>
      <c r="S73" s="34">
        <f>+S13-S43</f>
        <v>27595.64212199999</v>
      </c>
      <c r="T73" s="34">
        <f>+T13-T43</f>
        <v>68862.299999999988</v>
      </c>
      <c r="U73" s="34">
        <f>+U13-U43</f>
        <v>5661.7492739999434</v>
      </c>
      <c r="V73" s="34">
        <f t="shared" si="68"/>
        <v>-24699.339999999967</v>
      </c>
      <c r="W73" s="92"/>
      <c r="X73" s="93">
        <f t="shared" si="59"/>
        <v>-28.012503044572568</v>
      </c>
      <c r="Y73" s="93">
        <f t="shared" si="59"/>
        <v>44.392502283826033</v>
      </c>
      <c r="Z73" s="93">
        <f t="shared" si="59"/>
        <v>11.36934354460144</v>
      </c>
      <c r="AA73" s="93">
        <f t="shared" si="59"/>
        <v>21.484102409448404</v>
      </c>
      <c r="AB73" s="93">
        <f t="shared" si="59"/>
        <v>-15.178662663991794</v>
      </c>
      <c r="AC73" s="93">
        <f t="shared" si="59"/>
        <v>-228.25171821890561</v>
      </c>
      <c r="AD73" s="73">
        <f t="shared" si="59"/>
        <v>-86.081651248830127</v>
      </c>
      <c r="AE73" s="274">
        <f t="shared" si="59"/>
        <v>-57.086698987110672</v>
      </c>
      <c r="AF73" s="278"/>
      <c r="AG73" s="277"/>
      <c r="AH73" s="277"/>
      <c r="AI73" s="277"/>
      <c r="AJ73" s="278"/>
      <c r="AK73" s="277"/>
      <c r="AL73" s="77"/>
      <c r="BB73" s="77"/>
      <c r="BC73" s="77"/>
      <c r="BD73" s="77"/>
      <c r="BE73" s="77"/>
      <c r="BF73" s="281"/>
    </row>
    <row r="74" spans="1:58" ht="11.7" customHeight="1">
      <c r="A74" s="84" t="s">
        <v>15</v>
      </c>
      <c r="B74" s="38">
        <f t="shared" ref="B74:V74" si="70">+B69+B71+B73</f>
        <v>-57076.400000000009</v>
      </c>
      <c r="C74" s="38">
        <f t="shared" si="70"/>
        <v>-70696.899999999994</v>
      </c>
      <c r="D74" s="38">
        <f t="shared" si="70"/>
        <v>-62812.5</v>
      </c>
      <c r="E74" s="38">
        <f t="shared" si="70"/>
        <v>-91454.200000000012</v>
      </c>
      <c r="F74" s="38">
        <f t="shared" si="70"/>
        <v>-125923.2</v>
      </c>
      <c r="G74" s="38">
        <f t="shared" si="70"/>
        <v>-82385.330000000016</v>
      </c>
      <c r="H74" s="38">
        <f t="shared" si="70"/>
        <v>97919.629999999976</v>
      </c>
      <c r="I74" s="38">
        <f t="shared" si="70"/>
        <v>75348.410000000018</v>
      </c>
      <c r="J74" s="38">
        <f t="shared" si="70"/>
        <v>40528.299999999988</v>
      </c>
      <c r="K74" s="38">
        <f t="shared" si="70"/>
        <v>44120.160000000003</v>
      </c>
      <c r="L74" s="38">
        <f t="shared" si="70"/>
        <v>34922.659999999974</v>
      </c>
      <c r="M74" s="38">
        <f t="shared" si="70"/>
        <v>66673.600000000035</v>
      </c>
      <c r="N74" s="38">
        <f t="shared" si="70"/>
        <v>-7203.3599999999278</v>
      </c>
      <c r="O74" s="38">
        <f t="shared" si="70"/>
        <v>-200012.73000000004</v>
      </c>
      <c r="P74" s="38">
        <f t="shared" si="70"/>
        <v>-75414.150000000023</v>
      </c>
      <c r="Q74" s="38">
        <f t="shared" si="70"/>
        <v>36501.640000000072</v>
      </c>
      <c r="R74" s="38">
        <f t="shared" si="70"/>
        <v>13905.669999999984</v>
      </c>
      <c r="S74" s="38">
        <f t="shared" si="70"/>
        <v>126816.55417900003</v>
      </c>
      <c r="T74" s="38">
        <f t="shared" si="70"/>
        <v>112863.26821299997</v>
      </c>
      <c r="U74" s="38">
        <f t="shared" si="70"/>
        <v>-46879.245836000016</v>
      </c>
      <c r="V74" s="38">
        <f t="shared" si="70"/>
        <v>-181613.61999999994</v>
      </c>
      <c r="W74" s="94"/>
      <c r="X74" s="95">
        <f t="shared" si="59"/>
        <v>23.863628399828961</v>
      </c>
      <c r="Y74" s="95">
        <f t="shared" si="59"/>
        <v>-11.152398478575432</v>
      </c>
      <c r="Z74" s="95">
        <f t="shared" si="59"/>
        <v>45.598726368159227</v>
      </c>
      <c r="AA74" s="95">
        <f t="shared" si="59"/>
        <v>37.689903798841364</v>
      </c>
      <c r="AB74" s="95">
        <f t="shared" si="59"/>
        <v>-34.574939328098388</v>
      </c>
      <c r="AC74" s="95">
        <f t="shared" si="59"/>
        <v>-218.85566277394287</v>
      </c>
      <c r="AD74" s="306">
        <f t="shared" si="59"/>
        <v>-23.050761119093245</v>
      </c>
      <c r="AE74" s="310">
        <f t="shared" si="59"/>
        <v>-46.212136394119028</v>
      </c>
      <c r="AF74" s="312"/>
      <c r="AG74" s="312"/>
      <c r="AH74" s="312"/>
      <c r="AI74" s="312"/>
      <c r="AJ74" s="313"/>
      <c r="AK74" s="312"/>
      <c r="AL74" s="265"/>
      <c r="AN74" s="76"/>
      <c r="AO74" s="76"/>
      <c r="AP74" s="76"/>
      <c r="AQ74" s="76"/>
      <c r="AR74" s="76"/>
      <c r="AS74" s="76"/>
      <c r="AT74" s="76"/>
      <c r="AU74" s="76"/>
      <c r="AV74" s="76"/>
      <c r="AW74" s="76"/>
      <c r="AX74" s="76"/>
      <c r="BB74" s="265"/>
      <c r="BC74" s="265"/>
      <c r="BD74" s="265"/>
      <c r="BE74" s="265"/>
      <c r="BF74" s="265"/>
    </row>
    <row r="75" spans="1:58" ht="11.7" customHeight="1">
      <c r="A75" s="84" t="s">
        <v>16</v>
      </c>
      <c r="B75" s="38">
        <f t="shared" ref="B75:V75" si="71">+B68+B69+B71+B73</f>
        <v>-102501.70000000001</v>
      </c>
      <c r="C75" s="38">
        <f t="shared" si="71"/>
        <v>-142052</v>
      </c>
      <c r="D75" s="38">
        <f t="shared" si="71"/>
        <v>-122039.4</v>
      </c>
      <c r="E75" s="38">
        <f t="shared" si="71"/>
        <v>-174623.7</v>
      </c>
      <c r="F75" s="38">
        <f t="shared" si="71"/>
        <v>-239008.8</v>
      </c>
      <c r="G75" s="38">
        <f t="shared" si="71"/>
        <v>-173743.34000000003</v>
      </c>
      <c r="H75" s="38">
        <f t="shared" si="71"/>
        <v>228997.34999999998</v>
      </c>
      <c r="I75" s="38">
        <f t="shared" si="71"/>
        <v>132608.69</v>
      </c>
      <c r="J75" s="38">
        <f t="shared" si="71"/>
        <v>136487.87999999998</v>
      </c>
      <c r="K75" s="38">
        <f t="shared" si="71"/>
        <v>39918.930000000022</v>
      </c>
      <c r="L75" s="38">
        <f t="shared" si="71"/>
        <v>64685.649999999994</v>
      </c>
      <c r="M75" s="38">
        <f t="shared" si="71"/>
        <v>119736.91000000006</v>
      </c>
      <c r="N75" s="38">
        <f t="shared" si="71"/>
        <v>5051.3100000000559</v>
      </c>
      <c r="O75" s="38">
        <f t="shared" si="71"/>
        <v>-318033.25</v>
      </c>
      <c r="P75" s="38">
        <f t="shared" si="71"/>
        <v>-105034.25</v>
      </c>
      <c r="Q75" s="38">
        <f t="shared" si="71"/>
        <v>150069.93000000011</v>
      </c>
      <c r="R75" s="38">
        <f t="shared" si="71"/>
        <v>-12051.190000000061</v>
      </c>
      <c r="S75" s="38">
        <f t="shared" si="71"/>
        <v>359467.73884000006</v>
      </c>
      <c r="T75" s="38">
        <f t="shared" si="71"/>
        <v>152634.63144099998</v>
      </c>
      <c r="U75" s="38">
        <f t="shared" si="71"/>
        <v>-29612.864073000033</v>
      </c>
      <c r="V75" s="38">
        <f t="shared" si="71"/>
        <v>-362602.16</v>
      </c>
      <c r="W75" s="94"/>
      <c r="X75" s="95">
        <f t="shared" si="59"/>
        <v>38.585018589935572</v>
      </c>
      <c r="Y75" s="95">
        <f t="shared" si="59"/>
        <v>-14.088221214766428</v>
      </c>
      <c r="Z75" s="95">
        <f t="shared" si="59"/>
        <v>43.087969950688063</v>
      </c>
      <c r="AA75" s="95">
        <f t="shared" si="59"/>
        <v>36.870768400852796</v>
      </c>
      <c r="AB75" s="95">
        <f t="shared" si="59"/>
        <v>-27.306718413715291</v>
      </c>
      <c r="AC75" s="95">
        <f t="shared" si="59"/>
        <v>-231.80208806852681</v>
      </c>
      <c r="AD75" s="306">
        <f t="shared" si="59"/>
        <v>-42.091604990188749</v>
      </c>
      <c r="AE75" s="310">
        <f t="shared" si="59"/>
        <v>2.925290944356651</v>
      </c>
      <c r="AF75" s="312"/>
      <c r="AG75" s="312"/>
      <c r="AH75" s="312"/>
      <c r="AI75" s="312"/>
      <c r="AJ75" s="313"/>
      <c r="AK75" s="312"/>
      <c r="AL75" s="265"/>
      <c r="BB75" s="265"/>
      <c r="BC75" s="314"/>
      <c r="BD75" s="265"/>
      <c r="BE75" s="265"/>
      <c r="BF75" s="265"/>
    </row>
    <row r="76" spans="1:58" ht="11.7" customHeight="1">
      <c r="A76" s="82" t="s">
        <v>17</v>
      </c>
      <c r="B76" s="34">
        <f t="shared" ref="B76:V78" si="72">+B16-B46</f>
        <v>-19510.899999999994</v>
      </c>
      <c r="C76" s="34">
        <f t="shared" si="72"/>
        <v>-14734.399999999994</v>
      </c>
      <c r="D76" s="34">
        <f t="shared" si="72"/>
        <v>-17916.300000000003</v>
      </c>
      <c r="E76" s="34">
        <f t="shared" si="72"/>
        <v>-37540</v>
      </c>
      <c r="F76" s="34">
        <f t="shared" si="72"/>
        <v>-40273.199999999997</v>
      </c>
      <c r="G76" s="34">
        <f t="shared" si="72"/>
        <v>-19463.610000000015</v>
      </c>
      <c r="H76" s="34">
        <f t="shared" si="72"/>
        <v>38819.01999999999</v>
      </c>
      <c r="I76" s="34">
        <f t="shared" si="72"/>
        <v>38166.720000000001</v>
      </c>
      <c r="J76" s="34">
        <f t="shared" si="72"/>
        <v>32426.239999999991</v>
      </c>
      <c r="K76" s="34">
        <f t="shared" si="72"/>
        <v>-7112.640000000014</v>
      </c>
      <c r="L76" s="34">
        <f t="shared" si="72"/>
        <v>-9414.0800000000163</v>
      </c>
      <c r="M76" s="34">
        <f t="shared" si="72"/>
        <v>-1262.9400000000023</v>
      </c>
      <c r="N76" s="34">
        <f t="shared" si="72"/>
        <v>981.35999999998603</v>
      </c>
      <c r="O76" s="34">
        <f t="shared" si="72"/>
        <v>-4584.9799999999814</v>
      </c>
      <c r="P76" s="34">
        <f t="shared" si="72"/>
        <v>-11284.240000000049</v>
      </c>
      <c r="Q76" s="34">
        <f t="shared" si="72"/>
        <v>9001.4899999999907</v>
      </c>
      <c r="R76" s="34">
        <f t="shared" si="72"/>
        <v>-29583.729999999981</v>
      </c>
      <c r="S76" s="34">
        <f t="shared" si="72"/>
        <v>21691.303354000032</v>
      </c>
      <c r="T76" s="34">
        <f t="shared" si="72"/>
        <v>-36284.429999999993</v>
      </c>
      <c r="U76" s="34">
        <f t="shared" si="72"/>
        <v>45503.459999999963</v>
      </c>
      <c r="V76" s="34">
        <f t="shared" si="72"/>
        <v>-62600.819999999949</v>
      </c>
      <c r="W76" s="96"/>
      <c r="X76" s="93">
        <f t="shared" si="59"/>
        <v>-24.481187438816253</v>
      </c>
      <c r="Y76" s="93">
        <f t="shared" si="59"/>
        <v>21.595042892822303</v>
      </c>
      <c r="Z76" s="93">
        <f t="shared" si="59"/>
        <v>109.52986944849101</v>
      </c>
      <c r="AA76" s="93">
        <f t="shared" si="59"/>
        <v>7.2807671816728758</v>
      </c>
      <c r="AB76" s="93">
        <f t="shared" si="59"/>
        <v>-51.671061648937709</v>
      </c>
      <c r="AC76" s="93">
        <f t="shared" si="59"/>
        <v>-299.44409079302329</v>
      </c>
      <c r="AD76" s="73">
        <f t="shared" si="59"/>
        <v>-1.6803618432407297</v>
      </c>
      <c r="AE76" s="274">
        <f t="shared" si="59"/>
        <v>-15.040537934619502</v>
      </c>
      <c r="AF76" s="276"/>
      <c r="AG76" s="277"/>
      <c r="AH76" s="277"/>
      <c r="AI76" s="277"/>
      <c r="AJ76" s="278"/>
      <c r="AK76" s="277"/>
      <c r="AL76" s="77"/>
      <c r="BB76" s="280"/>
      <c r="BC76" s="77"/>
      <c r="BD76" s="77"/>
      <c r="BE76" s="77"/>
      <c r="BF76" s="77"/>
    </row>
    <row r="77" spans="1:58" ht="8.5500000000000007" hidden="1" customHeight="1">
      <c r="A77" s="305" t="s">
        <v>19</v>
      </c>
      <c r="B77" s="252">
        <f t="shared" ref="B77:U77" si="73">+B75+B76</f>
        <v>-122012.6</v>
      </c>
      <c r="C77" s="252">
        <f t="shared" si="73"/>
        <v>-156786.4</v>
      </c>
      <c r="D77" s="252">
        <f t="shared" si="73"/>
        <v>-139955.70000000001</v>
      </c>
      <c r="E77" s="252">
        <f t="shared" si="73"/>
        <v>-212163.7</v>
      </c>
      <c r="F77" s="252">
        <f t="shared" si="73"/>
        <v>-279282</v>
      </c>
      <c r="G77" s="252">
        <f t="shared" si="73"/>
        <v>-193206.95000000004</v>
      </c>
      <c r="H77" s="252">
        <f t="shared" si="73"/>
        <v>267816.37</v>
      </c>
      <c r="I77" s="252">
        <f t="shared" si="73"/>
        <v>170775.41</v>
      </c>
      <c r="J77" s="252">
        <f t="shared" si="73"/>
        <v>168914.11999999997</v>
      </c>
      <c r="K77" s="252">
        <f t="shared" si="73"/>
        <v>32806.290000000008</v>
      </c>
      <c r="L77" s="252">
        <f t="shared" si="73"/>
        <v>55271.569999999978</v>
      </c>
      <c r="M77" s="252">
        <f t="shared" si="73"/>
        <v>118473.97000000006</v>
      </c>
      <c r="N77" s="252">
        <f t="shared" si="73"/>
        <v>6032.6700000000419</v>
      </c>
      <c r="O77" s="252">
        <f t="shared" si="73"/>
        <v>-322618.23</v>
      </c>
      <c r="P77" s="252">
        <f t="shared" si="73"/>
        <v>-116318.49000000005</v>
      </c>
      <c r="Q77" s="252">
        <f t="shared" si="73"/>
        <v>159071.4200000001</v>
      </c>
      <c r="R77" s="252">
        <f t="shared" si="73"/>
        <v>-41634.920000000042</v>
      </c>
      <c r="S77" s="252">
        <f t="shared" si="73"/>
        <v>381159.0421940001</v>
      </c>
      <c r="T77" s="252">
        <f t="shared" si="73"/>
        <v>116350.20144099998</v>
      </c>
      <c r="U77" s="252">
        <f t="shared" si="73"/>
        <v>15890.595926999929</v>
      </c>
      <c r="V77" s="34">
        <f t="shared" si="72"/>
        <v>-425202.97999999952</v>
      </c>
      <c r="W77" s="94"/>
      <c r="X77" s="95">
        <f t="shared" si="59"/>
        <v>28.500171293784394</v>
      </c>
      <c r="Y77" s="95">
        <f t="shared" si="59"/>
        <v>-10.734795875152425</v>
      </c>
      <c r="Z77" s="95">
        <f t="shared" si="59"/>
        <v>51.593468504676835</v>
      </c>
      <c r="AA77" s="95">
        <f t="shared" si="59"/>
        <v>31.635147765616821</v>
      </c>
      <c r="AB77" s="95">
        <f t="shared" si="59"/>
        <v>-30.820120881403014</v>
      </c>
      <c r="AC77" s="95">
        <f t="shared" si="59"/>
        <v>-238.61632306705323</v>
      </c>
      <c r="AD77" s="306">
        <f t="shared" si="59"/>
        <v>-36.23414057923344</v>
      </c>
      <c r="AE77" s="310">
        <f t="shared" si="59"/>
        <v>-1.0899051567201834</v>
      </c>
      <c r="AF77" s="312"/>
      <c r="AG77" s="312"/>
      <c r="AH77" s="312"/>
      <c r="AI77" s="312"/>
      <c r="AJ77" s="313"/>
      <c r="AK77" s="312"/>
      <c r="AL77" s="265"/>
      <c r="BB77" s="265"/>
      <c r="BC77" s="313"/>
      <c r="BD77" s="265"/>
      <c r="BE77" s="265"/>
      <c r="BF77" s="77"/>
    </row>
    <row r="78" spans="1:58" ht="11.7" customHeight="1">
      <c r="A78" s="82" t="s">
        <v>20</v>
      </c>
      <c r="B78" s="34">
        <f t="shared" ref="B78:P78" si="74">+B18-B48</f>
        <v>-20421.400000000009</v>
      </c>
      <c r="C78" s="34">
        <f t="shared" si="74"/>
        <v>-11554.599999999991</v>
      </c>
      <c r="D78" s="34">
        <f t="shared" si="74"/>
        <v>-24315.699999999997</v>
      </c>
      <c r="E78" s="34">
        <f t="shared" si="74"/>
        <v>-36228.899999999994</v>
      </c>
      <c r="F78" s="34">
        <f t="shared" si="74"/>
        <v>-37127.800000000003</v>
      </c>
      <c r="G78" s="34">
        <f t="shared" si="74"/>
        <v>-5347.4599999999919</v>
      </c>
      <c r="H78" s="34">
        <f t="shared" si="74"/>
        <v>38244.889999999985</v>
      </c>
      <c r="I78" s="34">
        <f t="shared" si="74"/>
        <v>29035.217405000003</v>
      </c>
      <c r="J78" s="34">
        <f t="shared" si="74"/>
        <v>16049.570000000007</v>
      </c>
      <c r="K78" s="34">
        <f t="shared" si="74"/>
        <v>27677.679999999993</v>
      </c>
      <c r="L78" s="34">
        <f t="shared" si="74"/>
        <v>8093.4499999999825</v>
      </c>
      <c r="M78" s="43">
        <f t="shared" si="74"/>
        <v>6441.7600000000093</v>
      </c>
      <c r="N78" s="43">
        <f t="shared" si="74"/>
        <v>-10794.660000000033</v>
      </c>
      <c r="O78" s="43">
        <f t="shared" si="74"/>
        <v>-1881.1999999999534</v>
      </c>
      <c r="P78" s="43">
        <f t="shared" si="74"/>
        <v>7052.1300000000047</v>
      </c>
      <c r="Q78" s="43">
        <f>+Q18-Q48</f>
        <v>25740.929999999993</v>
      </c>
      <c r="R78" s="43">
        <f>+R18-R48</f>
        <v>-18933.04999999993</v>
      </c>
      <c r="S78" s="43">
        <f>+S18-S48</f>
        <v>65991.542948000017</v>
      </c>
      <c r="T78" s="43">
        <f>+T18-T48</f>
        <v>14703.51999999996</v>
      </c>
      <c r="U78" s="43">
        <f>+U18-U48</f>
        <v>-54541.823407000047</v>
      </c>
      <c r="V78" s="34">
        <f t="shared" si="72"/>
        <v>-39899.800000000047</v>
      </c>
      <c r="W78" s="96"/>
      <c r="X78" s="93">
        <f t="shared" si="59"/>
        <v>-43.419158333904697</v>
      </c>
      <c r="Y78" s="93">
        <f t="shared" si="59"/>
        <v>110.44172883526922</v>
      </c>
      <c r="Z78" s="93">
        <f t="shared" si="59"/>
        <v>48.993859934116621</v>
      </c>
      <c r="AA78" s="93">
        <f t="shared" si="59"/>
        <v>2.4811683490252534</v>
      </c>
      <c r="AB78" s="93">
        <f t="shared" si="59"/>
        <v>-85.597153615350251</v>
      </c>
      <c r="AC78" s="93">
        <f t="shared" si="59"/>
        <v>-815.19730862877043</v>
      </c>
      <c r="AD78" s="73">
        <f t="shared" si="59"/>
        <v>-24.080792479727322</v>
      </c>
      <c r="AE78" s="274">
        <f t="shared" si="59"/>
        <v>-44.723782239577112</v>
      </c>
      <c r="AF78" s="277"/>
      <c r="AG78" s="277"/>
      <c r="AH78" s="277"/>
      <c r="AI78" s="277"/>
      <c r="AJ78" s="277"/>
      <c r="AK78" s="277"/>
      <c r="AL78" s="77"/>
      <c r="BB78" s="77"/>
      <c r="BC78" s="77"/>
      <c r="BD78" s="77"/>
      <c r="BE78" s="77"/>
      <c r="BF78" s="282"/>
    </row>
    <row r="79" spans="1:58" ht="8.5500000000000007" hidden="1" customHeight="1">
      <c r="A79" s="305" t="s">
        <v>21</v>
      </c>
      <c r="B79" s="252">
        <f>B78+B77</f>
        <v>-142434</v>
      </c>
      <c r="C79" s="252">
        <f t="shared" ref="C79:U79" si="75">C78+C77</f>
        <v>-168341</v>
      </c>
      <c r="D79" s="252">
        <f t="shared" si="75"/>
        <v>-164271.40000000002</v>
      </c>
      <c r="E79" s="252">
        <f t="shared" si="75"/>
        <v>-248392.6</v>
      </c>
      <c r="F79" s="252">
        <f t="shared" si="75"/>
        <v>-316409.8</v>
      </c>
      <c r="G79" s="252">
        <f t="shared" si="75"/>
        <v>-198554.41000000003</v>
      </c>
      <c r="H79" s="252">
        <f t="shared" si="75"/>
        <v>306061.26</v>
      </c>
      <c r="I79" s="252">
        <f t="shared" si="75"/>
        <v>199810.62740500001</v>
      </c>
      <c r="J79" s="252">
        <f t="shared" si="75"/>
        <v>184963.68999999997</v>
      </c>
      <c r="K79" s="252">
        <f t="shared" si="75"/>
        <v>60483.97</v>
      </c>
      <c r="L79" s="252">
        <f t="shared" si="75"/>
        <v>63365.01999999996</v>
      </c>
      <c r="M79" s="252">
        <f t="shared" si="75"/>
        <v>124915.73000000007</v>
      </c>
      <c r="N79" s="252">
        <f t="shared" si="75"/>
        <v>-4761.9899999999907</v>
      </c>
      <c r="O79" s="252">
        <f t="shared" si="75"/>
        <v>-324499.42999999993</v>
      </c>
      <c r="P79" s="252">
        <f t="shared" si="75"/>
        <v>-109266.36000000004</v>
      </c>
      <c r="Q79" s="252">
        <f t="shared" si="75"/>
        <v>184812.35000000009</v>
      </c>
      <c r="R79" s="252">
        <f t="shared" si="75"/>
        <v>-60567.969999999972</v>
      </c>
      <c r="S79" s="252">
        <f t="shared" si="75"/>
        <v>447150.58514200011</v>
      </c>
      <c r="T79" s="252">
        <f t="shared" si="75"/>
        <v>131053.72144099994</v>
      </c>
      <c r="U79" s="252">
        <f t="shared" si="75"/>
        <v>-38651.227480000118</v>
      </c>
      <c r="V79" s="252">
        <f>V78+V77</f>
        <v>-465102.77999999956</v>
      </c>
      <c r="W79" s="94"/>
      <c r="X79" s="95">
        <f t="shared" si="59"/>
        <v>18.188775152000215</v>
      </c>
      <c r="Y79" s="95">
        <f t="shared" si="59"/>
        <v>-2.4174740556370589</v>
      </c>
      <c r="Z79" s="95">
        <f t="shared" si="59"/>
        <v>51.208670529380029</v>
      </c>
      <c r="AA79" s="95">
        <f t="shared" si="59"/>
        <v>27.382941359766754</v>
      </c>
      <c r="AB79" s="95">
        <f t="shared" si="59"/>
        <v>-37.247705349202199</v>
      </c>
      <c r="AC79" s="95">
        <f t="shared" si="59"/>
        <v>-254.14478076815311</v>
      </c>
      <c r="AD79" s="306">
        <f t="shared" si="59"/>
        <v>-34.71547904984773</v>
      </c>
      <c r="AE79" s="310">
        <f t="shared" si="59"/>
        <v>-7.4305043719754105</v>
      </c>
      <c r="AF79" s="312"/>
      <c r="AG79" s="312"/>
      <c r="AH79" s="312"/>
      <c r="AI79" s="312"/>
      <c r="AJ79" s="313"/>
      <c r="AK79" s="312"/>
      <c r="AL79" s="265"/>
      <c r="BB79" s="265"/>
      <c r="BC79" s="312"/>
      <c r="BD79" s="265"/>
      <c r="BE79" s="265"/>
      <c r="BF79" s="265"/>
    </row>
    <row r="80" spans="1:58" ht="12" customHeight="1">
      <c r="A80" s="82" t="s">
        <v>22</v>
      </c>
      <c r="B80" s="34">
        <f t="shared" ref="B80:P80" si="76">+B20-B50</f>
        <v>-15695.300000000003</v>
      </c>
      <c r="C80" s="34">
        <f t="shared" si="76"/>
        <v>-9514.5</v>
      </c>
      <c r="D80" s="34">
        <f t="shared" si="76"/>
        <v>-10554.400000000009</v>
      </c>
      <c r="E80" s="34">
        <f t="shared" si="76"/>
        <v>-11739.900000000009</v>
      </c>
      <c r="F80" s="34">
        <f t="shared" si="76"/>
        <v>-26217.399999999994</v>
      </c>
      <c r="G80" s="34">
        <f t="shared" si="76"/>
        <v>5282.1100000000151</v>
      </c>
      <c r="H80" s="34">
        <f t="shared" si="76"/>
        <v>51257.91</v>
      </c>
      <c r="I80" s="34">
        <f t="shared" si="76"/>
        <v>28411.5</v>
      </c>
      <c r="J80" s="34">
        <f t="shared" si="76"/>
        <v>26993.589999999997</v>
      </c>
      <c r="K80" s="34">
        <f t="shared" si="76"/>
        <v>18507.319999999978</v>
      </c>
      <c r="L80" s="34">
        <f t="shared" si="76"/>
        <v>32353.849999999977</v>
      </c>
      <c r="M80" s="34">
        <f t="shared" si="76"/>
        <v>29539.030000000028</v>
      </c>
      <c r="N80" s="34">
        <f t="shared" si="76"/>
        <v>18091.440000000002</v>
      </c>
      <c r="O80" s="43">
        <f t="shared" si="76"/>
        <v>29052.340000000026</v>
      </c>
      <c r="P80" s="43">
        <f t="shared" si="76"/>
        <v>52724.210000000021</v>
      </c>
      <c r="Q80" s="43">
        <f>+Q20-Q50</f>
        <v>74490.760000000009</v>
      </c>
      <c r="R80" s="43">
        <f>+R20-R50</f>
        <v>13532.890000000014</v>
      </c>
      <c r="S80" s="43">
        <f>+S20-S50</f>
        <v>61977.46234800003</v>
      </c>
      <c r="T80" s="43">
        <f>+T20-T50</f>
        <v>90541.239999999932</v>
      </c>
      <c r="U80" s="43">
        <f>+U20-U50</f>
        <v>-638400.36018900003</v>
      </c>
      <c r="V80" s="43" t="s">
        <v>9</v>
      </c>
      <c r="W80" s="96"/>
      <c r="X80" s="93">
        <f t="shared" si="59"/>
        <v>-39.379941766006397</v>
      </c>
      <c r="Y80" s="93">
        <f t="shared" si="59"/>
        <v>10.92963371695841</v>
      </c>
      <c r="Z80" s="93">
        <f t="shared" si="59"/>
        <v>11.232282270901228</v>
      </c>
      <c r="AA80" s="93">
        <f t="shared" si="59"/>
        <v>123.3187676215298</v>
      </c>
      <c r="AB80" s="103">
        <f t="shared" si="59"/>
        <v>-120.14734489308634</v>
      </c>
      <c r="AC80" s="93">
        <f t="shared" si="59"/>
        <v>870.40595519593217</v>
      </c>
      <c r="AD80" s="73">
        <f t="shared" si="59"/>
        <v>-44.571481747890232</v>
      </c>
      <c r="AE80" s="274">
        <f t="shared" si="59"/>
        <v>-4.9906199954244057</v>
      </c>
      <c r="AF80" s="277"/>
      <c r="AG80" s="277"/>
      <c r="AH80" s="277"/>
      <c r="AI80" s="277"/>
      <c r="AJ80" s="277"/>
      <c r="AK80" s="277"/>
      <c r="AL80" s="7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BB80" s="77"/>
      <c r="BC80" s="77"/>
      <c r="BD80" s="77"/>
      <c r="BE80" s="283"/>
      <c r="BF80" s="283"/>
    </row>
    <row r="81" spans="1:61" ht="11.7" customHeight="1">
      <c r="A81" s="84" t="s">
        <v>23</v>
      </c>
      <c r="B81" s="38">
        <f t="shared" ref="B81:T81" si="77">+B76+B78+B80</f>
        <v>-55627.600000000006</v>
      </c>
      <c r="C81" s="38">
        <f t="shared" si="77"/>
        <v>-35803.499999999985</v>
      </c>
      <c r="D81" s="38">
        <f t="shared" si="77"/>
        <v>-52786.400000000009</v>
      </c>
      <c r="E81" s="38">
        <f t="shared" si="77"/>
        <v>-85508.800000000003</v>
      </c>
      <c r="F81" s="38">
        <f t="shared" si="77"/>
        <v>-103618.4</v>
      </c>
      <c r="G81" s="38">
        <f t="shared" si="77"/>
        <v>-19528.959999999992</v>
      </c>
      <c r="H81" s="38">
        <f t="shared" si="77"/>
        <v>128321.81999999998</v>
      </c>
      <c r="I81" s="38">
        <f t="shared" si="77"/>
        <v>95613.437405000004</v>
      </c>
      <c r="J81" s="38">
        <f t="shared" si="77"/>
        <v>75469.399999999994</v>
      </c>
      <c r="K81" s="38">
        <f t="shared" si="77"/>
        <v>39072.359999999957</v>
      </c>
      <c r="L81" s="38">
        <f t="shared" si="77"/>
        <v>31033.219999999943</v>
      </c>
      <c r="M81" s="38">
        <f t="shared" si="77"/>
        <v>34717.850000000035</v>
      </c>
      <c r="N81" s="38">
        <f t="shared" si="77"/>
        <v>8278.1399999999558</v>
      </c>
      <c r="O81" s="38">
        <f t="shared" si="77"/>
        <v>22586.160000000091</v>
      </c>
      <c r="P81" s="38">
        <f t="shared" si="77"/>
        <v>48492.099999999977</v>
      </c>
      <c r="Q81" s="38">
        <f t="shared" si="77"/>
        <v>109233.18</v>
      </c>
      <c r="R81" s="38">
        <f t="shared" si="77"/>
        <v>-34983.889999999898</v>
      </c>
      <c r="S81" s="38">
        <f t="shared" si="77"/>
        <v>149660.30865000008</v>
      </c>
      <c r="T81" s="38">
        <f t="shared" si="77"/>
        <v>68960.3299999999</v>
      </c>
      <c r="U81" s="38">
        <f>+U76+U78+U80</f>
        <v>-647438.72359600011</v>
      </c>
      <c r="V81" s="38" t="s">
        <v>9</v>
      </c>
      <c r="W81" s="94"/>
      <c r="X81" s="95">
        <f t="shared" si="59"/>
        <v>-35.637165723489815</v>
      </c>
      <c r="Y81" s="95">
        <f t="shared" si="59"/>
        <v>47.433630790285953</v>
      </c>
      <c r="Z81" s="95">
        <f t="shared" si="59"/>
        <v>61.99020959944226</v>
      </c>
      <c r="AA81" s="95">
        <f t="shared" si="59"/>
        <v>21.178638923713102</v>
      </c>
      <c r="AB81" s="95">
        <f t="shared" si="59"/>
        <v>-81.152999853307918</v>
      </c>
      <c r="AC81" s="95">
        <f t="shared" si="59"/>
        <v>-757.08476027397285</v>
      </c>
      <c r="AD81" s="306">
        <f t="shared" si="59"/>
        <v>-25.489338130490967</v>
      </c>
      <c r="AE81" s="310">
        <f t="shared" si="59"/>
        <v>-21.068207515303282</v>
      </c>
      <c r="AF81" s="312"/>
      <c r="AG81" s="312"/>
      <c r="AH81" s="312"/>
      <c r="AI81" s="312"/>
      <c r="AJ81" s="312"/>
      <c r="AK81" s="312"/>
      <c r="AL81" s="265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BB81" s="265"/>
      <c r="BC81" s="312"/>
      <c r="BD81" s="265"/>
      <c r="BE81" s="265"/>
      <c r="BF81" s="265"/>
    </row>
    <row r="82" spans="1:61" ht="8.5500000000000007" hidden="1" customHeight="1">
      <c r="A82" s="305" t="s">
        <v>24</v>
      </c>
      <c r="B82" s="38">
        <f t="shared" ref="B82:V82" si="78">+B75+B76+B78+B80</f>
        <v>-158129.29999999999</v>
      </c>
      <c r="C82" s="38">
        <f t="shared" si="78"/>
        <v>-177855.5</v>
      </c>
      <c r="D82" s="38">
        <f t="shared" si="78"/>
        <v>-174825.80000000005</v>
      </c>
      <c r="E82" s="38">
        <f t="shared" si="78"/>
        <v>-260132.5</v>
      </c>
      <c r="F82" s="38">
        <f t="shared" si="78"/>
        <v>-342627.19999999995</v>
      </c>
      <c r="G82" s="38">
        <f t="shared" si="78"/>
        <v>-193272.30000000002</v>
      </c>
      <c r="H82" s="38">
        <f t="shared" si="78"/>
        <v>357319.17000000004</v>
      </c>
      <c r="I82" s="38">
        <f t="shared" si="78"/>
        <v>228222.12740500001</v>
      </c>
      <c r="J82" s="38">
        <f t="shared" si="78"/>
        <v>211957.27999999997</v>
      </c>
      <c r="K82" s="38">
        <f t="shared" si="78"/>
        <v>78991.289999999979</v>
      </c>
      <c r="L82" s="38">
        <f t="shared" si="78"/>
        <v>95718.869999999937</v>
      </c>
      <c r="M82" s="38">
        <f t="shared" si="78"/>
        <v>154454.7600000001</v>
      </c>
      <c r="N82" s="38">
        <f t="shared" si="78"/>
        <v>13329.450000000012</v>
      </c>
      <c r="O82" s="38">
        <f t="shared" si="78"/>
        <v>-295447.08999999991</v>
      </c>
      <c r="P82" s="38">
        <f t="shared" si="78"/>
        <v>-56542.150000000023</v>
      </c>
      <c r="Q82" s="38">
        <f t="shared" si="78"/>
        <v>259303.1100000001</v>
      </c>
      <c r="R82" s="38">
        <f t="shared" si="78"/>
        <v>-47035.079999999958</v>
      </c>
      <c r="S82" s="38">
        <f t="shared" si="78"/>
        <v>509128.04749000014</v>
      </c>
      <c r="T82" s="38">
        <f t="shared" si="78"/>
        <v>221594.96144099988</v>
      </c>
      <c r="U82" s="38">
        <f t="shared" si="78"/>
        <v>-677051.58766900015</v>
      </c>
      <c r="V82" s="38" t="e">
        <f t="shared" si="78"/>
        <v>#VALUE!</v>
      </c>
      <c r="W82" s="39"/>
      <c r="X82" s="40">
        <f t="shared" si="59"/>
        <v>12.474727959966936</v>
      </c>
      <c r="Y82" s="40">
        <f t="shared" si="59"/>
        <v>-1.7034615179176038</v>
      </c>
      <c r="Z82" s="40">
        <f t="shared" si="59"/>
        <v>48.795257908157687</v>
      </c>
      <c r="AA82" s="40">
        <f t="shared" si="59"/>
        <v>31.712569555899385</v>
      </c>
      <c r="AB82" s="40">
        <f t="shared" si="59"/>
        <v>-43.591080918269178</v>
      </c>
      <c r="AC82" s="40">
        <f t="shared" si="59"/>
        <v>-284.87862461408076</v>
      </c>
      <c r="AD82" s="253">
        <f t="shared" si="59"/>
        <v>-36.129335740648905</v>
      </c>
      <c r="AE82" s="317">
        <f t="shared" si="59"/>
        <v>-7.1267618043611698</v>
      </c>
      <c r="AF82" s="265"/>
      <c r="AG82" s="265"/>
      <c r="AH82" s="265"/>
      <c r="AI82" s="265"/>
      <c r="AJ82" s="318"/>
      <c r="AK82" s="265"/>
      <c r="AL82" s="265"/>
      <c r="AN82" s="77"/>
      <c r="AO82" s="77"/>
      <c r="AP82" s="77"/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B82" s="265"/>
      <c r="BC82" s="313"/>
      <c r="BD82" s="265"/>
      <c r="BE82" s="265"/>
      <c r="BF82" s="265"/>
    </row>
    <row r="83" spans="1:61" ht="11.7" customHeight="1">
      <c r="A83" s="82" t="s">
        <v>25</v>
      </c>
      <c r="B83" s="34">
        <f t="shared" ref="B83:P83" si="79">+B23-B53</f>
        <v>-16753.899999999994</v>
      </c>
      <c r="C83" s="34">
        <f t="shared" si="79"/>
        <v>-8577.8000000000029</v>
      </c>
      <c r="D83" s="34">
        <f t="shared" si="79"/>
        <v>-16066.399999999994</v>
      </c>
      <c r="E83" s="34">
        <f t="shared" si="79"/>
        <v>-32100.199999999983</v>
      </c>
      <c r="F83" s="34">
        <f t="shared" si="79"/>
        <v>-33743.699999999997</v>
      </c>
      <c r="G83" s="34">
        <f t="shared" si="79"/>
        <v>18394.850000000006</v>
      </c>
      <c r="H83" s="34">
        <f t="shared" si="79"/>
        <v>37213.709999999992</v>
      </c>
      <c r="I83" s="34">
        <f t="shared" si="79"/>
        <v>41181.020000000019</v>
      </c>
      <c r="J83" s="34">
        <f t="shared" si="79"/>
        <v>11457.239999999991</v>
      </c>
      <c r="K83" s="34">
        <f t="shared" si="79"/>
        <v>14888.25</v>
      </c>
      <c r="L83" s="34">
        <f t="shared" si="79"/>
        <v>20537.290000000008</v>
      </c>
      <c r="M83" s="34">
        <f t="shared" si="79"/>
        <v>15299.429999999993</v>
      </c>
      <c r="N83" s="34">
        <f t="shared" si="79"/>
        <v>22966.72000000003</v>
      </c>
      <c r="O83" s="34">
        <f t="shared" si="79"/>
        <v>-10208.520000000019</v>
      </c>
      <c r="P83" s="34">
        <f t="shared" si="79"/>
        <v>20361.790000000037</v>
      </c>
      <c r="Q83" s="34">
        <f>+Q23-Q53</f>
        <v>57318.150000000023</v>
      </c>
      <c r="R83" s="34">
        <f>+R23-R53</f>
        <v>-24274.02999999997</v>
      </c>
      <c r="S83" s="34">
        <f>+S23-S53</f>
        <v>54081.164214999997</v>
      </c>
      <c r="T83" s="34">
        <f>+T23-T53</f>
        <v>59956.759999999951</v>
      </c>
      <c r="U83" s="34">
        <f>+U23-U53</f>
        <v>-554132.88</v>
      </c>
      <c r="V83" s="34" t="s">
        <v>9</v>
      </c>
      <c r="W83" s="92"/>
      <c r="X83" s="93">
        <f t="shared" si="59"/>
        <v>-48.801174651872067</v>
      </c>
      <c r="Y83" s="93">
        <f t="shared" si="59"/>
        <v>87.302105434959884</v>
      </c>
      <c r="Z83" s="93">
        <f t="shared" si="59"/>
        <v>99.797092067918115</v>
      </c>
      <c r="AA83" s="93">
        <f t="shared" si="59"/>
        <v>5.1199057949795179</v>
      </c>
      <c r="AB83" s="103">
        <f t="shared" si="59"/>
        <v>-154.51343510047803</v>
      </c>
      <c r="AC83" s="93">
        <f t="shared" ref="AC83:AE90" si="80">((H83/G83)-1)*100</f>
        <v>102.30504733661859</v>
      </c>
      <c r="AD83" s="73">
        <f t="shared" si="80"/>
        <v>10.660882776804637</v>
      </c>
      <c r="AE83" s="274">
        <f t="shared" si="80"/>
        <v>-72.178348180788177</v>
      </c>
      <c r="AF83" s="277"/>
      <c r="AG83" s="277"/>
      <c r="AH83" s="277"/>
      <c r="AI83" s="277"/>
      <c r="AJ83" s="277"/>
      <c r="AK83" s="77"/>
      <c r="AL83" s="77"/>
      <c r="BB83" s="77"/>
      <c r="BC83" s="277"/>
      <c r="BD83" s="77"/>
      <c r="BE83" s="77"/>
      <c r="BF83" s="77"/>
    </row>
    <row r="84" spans="1:61" ht="11.7" hidden="1" customHeight="1">
      <c r="A84" s="305" t="s">
        <v>26</v>
      </c>
      <c r="B84" s="252">
        <f t="shared" ref="B84:U84" si="81">+B75+B81+B83</f>
        <v>-174883.20000000001</v>
      </c>
      <c r="C84" s="252">
        <f t="shared" si="81"/>
        <v>-186433.3</v>
      </c>
      <c r="D84" s="252">
        <f t="shared" si="81"/>
        <v>-190892.19999999998</v>
      </c>
      <c r="E84" s="252">
        <f t="shared" si="81"/>
        <v>-292232.69999999995</v>
      </c>
      <c r="F84" s="252">
        <f t="shared" si="81"/>
        <v>-376370.89999999997</v>
      </c>
      <c r="G84" s="252">
        <f t="shared" si="81"/>
        <v>-174877.45</v>
      </c>
      <c r="H84" s="252">
        <f t="shared" si="81"/>
        <v>394532.87999999989</v>
      </c>
      <c r="I84" s="252">
        <f t="shared" si="81"/>
        <v>269403.14740500005</v>
      </c>
      <c r="J84" s="252">
        <f t="shared" si="81"/>
        <v>223414.51999999996</v>
      </c>
      <c r="K84" s="252">
        <f t="shared" si="81"/>
        <v>93879.539999999979</v>
      </c>
      <c r="L84" s="252">
        <f t="shared" si="81"/>
        <v>116256.15999999995</v>
      </c>
      <c r="M84" s="252">
        <f t="shared" si="81"/>
        <v>169754.19000000009</v>
      </c>
      <c r="N84" s="252">
        <f t="shared" si="81"/>
        <v>36296.170000000042</v>
      </c>
      <c r="O84" s="252">
        <f t="shared" si="81"/>
        <v>-305655.60999999993</v>
      </c>
      <c r="P84" s="252">
        <f t="shared" si="81"/>
        <v>-36180.359999999986</v>
      </c>
      <c r="Q84" s="252">
        <f t="shared" si="81"/>
        <v>316621.26000000013</v>
      </c>
      <c r="R84" s="252">
        <f t="shared" si="81"/>
        <v>-71309.109999999928</v>
      </c>
      <c r="S84" s="252">
        <f t="shared" si="81"/>
        <v>563209.21170500014</v>
      </c>
      <c r="T84" s="252">
        <f t="shared" si="81"/>
        <v>281551.72144099983</v>
      </c>
      <c r="U84" s="252">
        <f t="shared" si="81"/>
        <v>-1231184.4676690002</v>
      </c>
      <c r="V84" s="252" t="s">
        <v>9</v>
      </c>
      <c r="W84" s="94"/>
      <c r="X84" s="95">
        <f t="shared" ref="X84:AB90" si="82">((C84/B84)-1)*100</f>
        <v>6.6044651515983155</v>
      </c>
      <c r="Y84" s="95">
        <f t="shared" si="82"/>
        <v>2.3916864637379742</v>
      </c>
      <c r="Z84" s="95">
        <f t="shared" si="82"/>
        <v>53.087816055344319</v>
      </c>
      <c r="AA84" s="95">
        <f t="shared" si="82"/>
        <v>28.791507589670839</v>
      </c>
      <c r="AB84" s="95">
        <f t="shared" si="82"/>
        <v>-53.535873788329539</v>
      </c>
      <c r="AC84" s="95">
        <f t="shared" si="80"/>
        <v>-325.60534820241253</v>
      </c>
      <c r="AD84" s="306">
        <f t="shared" si="80"/>
        <v>-31.715920000127717</v>
      </c>
      <c r="AE84" s="310">
        <f t="shared" si="80"/>
        <v>-17.070560551345125</v>
      </c>
      <c r="AF84" s="312"/>
      <c r="AG84" s="312"/>
      <c r="AH84" s="312"/>
      <c r="AI84" s="312"/>
      <c r="AJ84" s="313"/>
      <c r="AK84" s="265"/>
      <c r="AL84" s="265"/>
      <c r="BB84" s="265"/>
      <c r="BC84" s="312"/>
      <c r="BD84" s="265"/>
      <c r="BE84" s="265"/>
      <c r="BF84" s="265"/>
    </row>
    <row r="85" spans="1:61" ht="11.7" customHeight="1">
      <c r="A85" s="82" t="s">
        <v>27</v>
      </c>
      <c r="B85" s="34">
        <f t="shared" ref="B85:P85" si="83">+B25-B55</f>
        <v>-22235.599999999991</v>
      </c>
      <c r="C85" s="34">
        <f t="shared" si="83"/>
        <v>-27340.900000000009</v>
      </c>
      <c r="D85" s="34">
        <f t="shared" si="83"/>
        <v>-17979.900000000009</v>
      </c>
      <c r="E85" s="34">
        <f t="shared" si="83"/>
        <v>-33265.100000000006</v>
      </c>
      <c r="F85" s="34">
        <f t="shared" si="83"/>
        <v>-24352.899999999994</v>
      </c>
      <c r="G85" s="34">
        <f t="shared" si="83"/>
        <v>32565.860000000015</v>
      </c>
      <c r="H85" s="34">
        <f t="shared" si="83"/>
        <v>40607.789999999994</v>
      </c>
      <c r="I85" s="34">
        <f t="shared" si="83"/>
        <v>21017.369999999995</v>
      </c>
      <c r="J85" s="34">
        <f t="shared" si="83"/>
        <v>20520.550000000017</v>
      </c>
      <c r="K85" s="34">
        <f t="shared" si="83"/>
        <v>14980.200000000012</v>
      </c>
      <c r="L85" s="34">
        <f t="shared" si="83"/>
        <v>13849.5</v>
      </c>
      <c r="M85" s="34">
        <f t="shared" si="83"/>
        <v>22449.549999999988</v>
      </c>
      <c r="N85" s="34">
        <f t="shared" si="83"/>
        <v>187.07000000000698</v>
      </c>
      <c r="O85" s="34">
        <f t="shared" si="83"/>
        <v>-865.28000000002794</v>
      </c>
      <c r="P85" s="34">
        <f t="shared" si="83"/>
        <v>30964.229999999981</v>
      </c>
      <c r="Q85" s="34">
        <f>+Q25-Q55</f>
        <v>67440.829999999958</v>
      </c>
      <c r="R85" s="34">
        <f>+R25-R55</f>
        <v>-47825.659999999974</v>
      </c>
      <c r="S85" s="34">
        <f>+S25-S55</f>
        <v>28404.674082999991</v>
      </c>
      <c r="T85" s="34">
        <f>+T25-T55</f>
        <v>5542.5999999999767</v>
      </c>
      <c r="U85" s="34">
        <f>+U25-U55</f>
        <v>-522511.74</v>
      </c>
      <c r="V85" s="34" t="s">
        <v>9</v>
      </c>
      <c r="W85" s="92"/>
      <c r="X85" s="93">
        <f t="shared" si="82"/>
        <v>22.960028063106108</v>
      </c>
      <c r="Y85" s="93">
        <f t="shared" si="82"/>
        <v>-34.238082872180499</v>
      </c>
      <c r="Z85" s="93">
        <f t="shared" si="82"/>
        <v>85.012708635754322</v>
      </c>
      <c r="AA85" s="93">
        <f t="shared" si="82"/>
        <v>-26.791442081941764</v>
      </c>
      <c r="AB85" s="103">
        <f t="shared" si="82"/>
        <v>-233.72477199840685</v>
      </c>
      <c r="AC85" s="93">
        <f t="shared" si="80"/>
        <v>24.694357833633052</v>
      </c>
      <c r="AD85" s="73">
        <f t="shared" si="80"/>
        <v>-48.243009530929903</v>
      </c>
      <c r="AE85" s="274">
        <f t="shared" si="80"/>
        <v>-2.3638542786275307</v>
      </c>
      <c r="AF85" s="277"/>
      <c r="AG85" s="277"/>
      <c r="AH85" s="277"/>
      <c r="AI85" s="277"/>
      <c r="AJ85" s="277"/>
      <c r="AK85" s="284"/>
      <c r="AL85" s="77"/>
      <c r="BB85" s="77"/>
      <c r="BC85" s="277"/>
      <c r="BD85" s="77"/>
      <c r="BE85" s="285"/>
      <c r="BF85" s="283"/>
    </row>
    <row r="86" spans="1:61" ht="11.7" hidden="1" customHeight="1">
      <c r="A86" s="305" t="s">
        <v>28</v>
      </c>
      <c r="B86" s="252">
        <f t="shared" ref="B86:U86" si="84">+B75+B81+B83+B85</f>
        <v>-197118.8</v>
      </c>
      <c r="C86" s="252">
        <f t="shared" si="84"/>
        <v>-213774.2</v>
      </c>
      <c r="D86" s="252">
        <f t="shared" si="84"/>
        <v>-208872.09999999998</v>
      </c>
      <c r="E86" s="252">
        <f t="shared" si="84"/>
        <v>-325497.79999999993</v>
      </c>
      <c r="F86" s="252">
        <f t="shared" si="84"/>
        <v>-400723.79999999993</v>
      </c>
      <c r="G86" s="252">
        <f t="shared" si="84"/>
        <v>-142311.59</v>
      </c>
      <c r="H86" s="252">
        <f t="shared" si="84"/>
        <v>435140.66999999987</v>
      </c>
      <c r="I86" s="252">
        <f t="shared" si="84"/>
        <v>290420.51740500005</v>
      </c>
      <c r="J86" s="252">
        <f t="shared" si="84"/>
        <v>243935.06999999998</v>
      </c>
      <c r="K86" s="252">
        <f t="shared" si="84"/>
        <v>108859.73999999999</v>
      </c>
      <c r="L86" s="252">
        <f t="shared" si="84"/>
        <v>130105.65999999995</v>
      </c>
      <c r="M86" s="252">
        <f t="shared" si="84"/>
        <v>192203.74000000008</v>
      </c>
      <c r="N86" s="252">
        <f t="shared" si="84"/>
        <v>36483.240000000049</v>
      </c>
      <c r="O86" s="252">
        <f t="shared" si="84"/>
        <v>-306520.88999999996</v>
      </c>
      <c r="P86" s="252">
        <f t="shared" si="84"/>
        <v>-5216.1300000000047</v>
      </c>
      <c r="Q86" s="252">
        <f t="shared" si="84"/>
        <v>384062.09000000008</v>
      </c>
      <c r="R86" s="252">
        <f t="shared" si="84"/>
        <v>-119134.7699999999</v>
      </c>
      <c r="S86" s="252">
        <f t="shared" si="84"/>
        <v>591613.88578800019</v>
      </c>
      <c r="T86" s="252">
        <f t="shared" si="84"/>
        <v>287094.3214409998</v>
      </c>
      <c r="U86" s="252">
        <f t="shared" si="84"/>
        <v>-1753696.2076690001</v>
      </c>
      <c r="V86" s="252" t="s">
        <v>9</v>
      </c>
      <c r="W86" s="94"/>
      <c r="X86" s="95">
        <f t="shared" si="82"/>
        <v>8.4494223787888512</v>
      </c>
      <c r="Y86" s="95">
        <f t="shared" si="82"/>
        <v>-2.29312049817052</v>
      </c>
      <c r="Z86" s="95">
        <f t="shared" si="82"/>
        <v>55.835939792820575</v>
      </c>
      <c r="AA86" s="95">
        <f t="shared" si="82"/>
        <v>23.111062501804923</v>
      </c>
      <c r="AB86" s="95">
        <f t="shared" si="82"/>
        <v>-64.486364423575537</v>
      </c>
      <c r="AC86" s="95">
        <f t="shared" si="80"/>
        <v>-405.76615017792983</v>
      </c>
      <c r="AD86" s="306">
        <f t="shared" si="80"/>
        <v>-33.258245568036628</v>
      </c>
      <c r="AE86" s="310">
        <f t="shared" si="80"/>
        <v>-16.006254592603298</v>
      </c>
      <c r="AF86" s="312"/>
      <c r="AG86" s="312"/>
      <c r="AH86" s="312"/>
      <c r="AI86" s="312"/>
      <c r="AJ86" s="313"/>
      <c r="AK86" s="265"/>
      <c r="AL86" s="314"/>
      <c r="BB86" s="265"/>
      <c r="BC86" s="312"/>
      <c r="BD86" s="265"/>
      <c r="BE86" s="265"/>
      <c r="BF86" s="265"/>
    </row>
    <row r="87" spans="1:61" ht="11.7" customHeight="1">
      <c r="A87" s="82" t="s">
        <v>29</v>
      </c>
      <c r="B87" s="34">
        <f t="shared" ref="B87:U87" si="85">+B27-B57</f>
        <v>-11482.5</v>
      </c>
      <c r="C87" s="34">
        <f t="shared" si="85"/>
        <v>-16028.600000000006</v>
      </c>
      <c r="D87" s="34">
        <f t="shared" si="85"/>
        <v>-22786.700000000012</v>
      </c>
      <c r="E87" s="34">
        <f t="shared" si="85"/>
        <v>-31783.300000000017</v>
      </c>
      <c r="F87" s="34">
        <f t="shared" si="85"/>
        <v>-21062.100000000006</v>
      </c>
      <c r="G87" s="34">
        <f t="shared" si="85"/>
        <v>24730.420000000013</v>
      </c>
      <c r="H87" s="34">
        <f t="shared" si="85"/>
        <v>38882.380000000005</v>
      </c>
      <c r="I87" s="34">
        <f t="shared" si="85"/>
        <v>16437.570000000007</v>
      </c>
      <c r="J87" s="34">
        <f t="shared" si="85"/>
        <v>29996.53</v>
      </c>
      <c r="K87" s="34">
        <f t="shared" si="85"/>
        <v>26882.539999999979</v>
      </c>
      <c r="L87" s="34">
        <f t="shared" si="85"/>
        <v>18944.700000000012</v>
      </c>
      <c r="M87" s="34">
        <f t="shared" si="85"/>
        <v>-5349.4899999999907</v>
      </c>
      <c r="N87" s="34">
        <f t="shared" si="85"/>
        <v>36139.739999999991</v>
      </c>
      <c r="O87" s="34">
        <f t="shared" si="85"/>
        <v>-8812.6999999999534</v>
      </c>
      <c r="P87" s="34">
        <f t="shared" si="85"/>
        <v>-334.1600000000326</v>
      </c>
      <c r="Q87" s="34">
        <f t="shared" si="85"/>
        <v>47870.729999999981</v>
      </c>
      <c r="R87" s="34">
        <f t="shared" si="85"/>
        <v>8023.429999999993</v>
      </c>
      <c r="S87" s="34">
        <f t="shared" si="85"/>
        <v>1001.0498960000114</v>
      </c>
      <c r="T87" s="34">
        <f t="shared" si="85"/>
        <v>32616.479999999981</v>
      </c>
      <c r="U87" s="34">
        <f t="shared" si="85"/>
        <v>-610070.56000000006</v>
      </c>
      <c r="V87" s="34" t="s">
        <v>9</v>
      </c>
      <c r="W87" s="92"/>
      <c r="X87" s="93">
        <f t="shared" si="82"/>
        <v>39.591552362290486</v>
      </c>
      <c r="Y87" s="93">
        <f t="shared" si="82"/>
        <v>42.16275906816567</v>
      </c>
      <c r="Z87" s="93">
        <f t="shared" si="82"/>
        <v>39.48180298156381</v>
      </c>
      <c r="AA87" s="93">
        <f t="shared" si="82"/>
        <v>-33.732180107163209</v>
      </c>
      <c r="AB87" s="103">
        <f t="shared" si="82"/>
        <v>-217.41668684509142</v>
      </c>
      <c r="AC87" s="93">
        <f t="shared" si="80"/>
        <v>57.224907623889877</v>
      </c>
      <c r="AD87" s="73">
        <f t="shared" si="80"/>
        <v>-57.724887211122343</v>
      </c>
      <c r="AE87" s="274">
        <f t="shared" si="80"/>
        <v>82.487618303678616</v>
      </c>
      <c r="AF87" s="277"/>
      <c r="AG87" s="277"/>
      <c r="AH87" s="277"/>
      <c r="AI87" s="277"/>
      <c r="AJ87" s="277"/>
      <c r="AK87" s="277"/>
      <c r="AL87" s="284"/>
      <c r="BB87" s="77"/>
      <c r="BC87" s="277"/>
      <c r="BD87" s="77"/>
      <c r="BE87" s="77"/>
      <c r="BF87" s="77"/>
    </row>
    <row r="88" spans="1:61" ht="11.7" customHeight="1">
      <c r="A88" s="84" t="s">
        <v>30</v>
      </c>
      <c r="B88" s="38">
        <f t="shared" ref="B88:T88" si="86">+B83+B85+B87</f>
        <v>-50471.999999999985</v>
      </c>
      <c r="C88" s="38">
        <f t="shared" si="86"/>
        <v>-51947.300000000017</v>
      </c>
      <c r="D88" s="38">
        <f t="shared" si="86"/>
        <v>-56833.000000000015</v>
      </c>
      <c r="E88" s="38">
        <f t="shared" si="86"/>
        <v>-97148.6</v>
      </c>
      <c r="F88" s="38">
        <f t="shared" si="86"/>
        <v>-79158.7</v>
      </c>
      <c r="G88" s="38">
        <f t="shared" si="86"/>
        <v>75691.130000000034</v>
      </c>
      <c r="H88" s="38">
        <f t="shared" si="86"/>
        <v>116703.87999999999</v>
      </c>
      <c r="I88" s="38">
        <f t="shared" si="86"/>
        <v>78635.960000000021</v>
      </c>
      <c r="J88" s="38">
        <f t="shared" si="86"/>
        <v>61974.320000000007</v>
      </c>
      <c r="K88" s="38">
        <f t="shared" si="86"/>
        <v>56750.989999999991</v>
      </c>
      <c r="L88" s="38">
        <f t="shared" si="86"/>
        <v>53331.49000000002</v>
      </c>
      <c r="M88" s="38">
        <f t="shared" si="86"/>
        <v>32399.489999999991</v>
      </c>
      <c r="N88" s="38">
        <f t="shared" si="86"/>
        <v>59293.530000000028</v>
      </c>
      <c r="O88" s="38">
        <f t="shared" si="86"/>
        <v>-19886.5</v>
      </c>
      <c r="P88" s="38">
        <f t="shared" si="86"/>
        <v>50991.859999999986</v>
      </c>
      <c r="Q88" s="38">
        <f t="shared" si="86"/>
        <v>172629.70999999996</v>
      </c>
      <c r="R88" s="38">
        <f t="shared" si="86"/>
        <v>-64076.259999999951</v>
      </c>
      <c r="S88" s="38">
        <f t="shared" si="86"/>
        <v>83486.888193999999</v>
      </c>
      <c r="T88" s="38">
        <f t="shared" si="86"/>
        <v>98115.839999999909</v>
      </c>
      <c r="U88" s="38">
        <f>+U83+U85+U87</f>
        <v>-1686715.1800000002</v>
      </c>
      <c r="V88" s="38" t="s">
        <v>9</v>
      </c>
      <c r="W88" s="94"/>
      <c r="X88" s="95">
        <f t="shared" si="82"/>
        <v>2.9230068156602229</v>
      </c>
      <c r="Y88" s="95">
        <f t="shared" si="82"/>
        <v>9.4051086389475458</v>
      </c>
      <c r="Z88" s="95">
        <f t="shared" si="82"/>
        <v>70.936955641968538</v>
      </c>
      <c r="AA88" s="95">
        <f t="shared" si="82"/>
        <v>-18.517919970025311</v>
      </c>
      <c r="AB88" s="104">
        <f t="shared" si="82"/>
        <v>-195.61947075937329</v>
      </c>
      <c r="AC88" s="95">
        <f t="shared" si="80"/>
        <v>54.184354230145516</v>
      </c>
      <c r="AD88" s="306">
        <f t="shared" si="80"/>
        <v>-32.619241108350451</v>
      </c>
      <c r="AE88" s="310">
        <f t="shared" si="80"/>
        <v>-21.188321475314865</v>
      </c>
      <c r="AF88" s="312"/>
      <c r="AG88" s="312"/>
      <c r="AH88" s="312"/>
      <c r="AI88" s="312"/>
      <c r="AJ88" s="312"/>
      <c r="AK88" s="312"/>
      <c r="AL88" s="265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BB88" s="265"/>
      <c r="BC88" s="312"/>
      <c r="BD88" s="265"/>
      <c r="BE88" s="265"/>
      <c r="BF88" s="265"/>
    </row>
    <row r="89" spans="1:61" ht="11.7" customHeight="1">
      <c r="A89" s="84" t="s">
        <v>31</v>
      </c>
      <c r="B89" s="38">
        <f t="shared" ref="B89:T89" si="87">+B88+B81</f>
        <v>-106099.59999999999</v>
      </c>
      <c r="C89" s="38">
        <f t="shared" si="87"/>
        <v>-87750.8</v>
      </c>
      <c r="D89" s="38">
        <f t="shared" si="87"/>
        <v>-109619.40000000002</v>
      </c>
      <c r="E89" s="38">
        <f t="shared" si="87"/>
        <v>-182657.40000000002</v>
      </c>
      <c r="F89" s="38">
        <f t="shared" si="87"/>
        <v>-182777.09999999998</v>
      </c>
      <c r="G89" s="38">
        <f t="shared" si="87"/>
        <v>56162.170000000042</v>
      </c>
      <c r="H89" s="38">
        <f t="shared" si="87"/>
        <v>245025.69999999995</v>
      </c>
      <c r="I89" s="38">
        <f t="shared" si="87"/>
        <v>174249.39740500003</v>
      </c>
      <c r="J89" s="38">
        <f t="shared" si="87"/>
        <v>137443.72</v>
      </c>
      <c r="K89" s="38">
        <f t="shared" si="87"/>
        <v>95823.349999999948</v>
      </c>
      <c r="L89" s="38">
        <f t="shared" si="87"/>
        <v>84364.709999999963</v>
      </c>
      <c r="M89" s="68">
        <f t="shared" si="87"/>
        <v>67117.340000000026</v>
      </c>
      <c r="N89" s="68">
        <f t="shared" si="87"/>
        <v>67571.669999999984</v>
      </c>
      <c r="O89" s="68">
        <f t="shared" si="87"/>
        <v>2699.6600000000908</v>
      </c>
      <c r="P89" s="68">
        <f t="shared" si="87"/>
        <v>99483.959999999963</v>
      </c>
      <c r="Q89" s="68">
        <f t="shared" si="87"/>
        <v>281862.88999999996</v>
      </c>
      <c r="R89" s="68">
        <f t="shared" si="87"/>
        <v>-99060.149999999849</v>
      </c>
      <c r="S89" s="68">
        <f t="shared" si="87"/>
        <v>233147.19684400008</v>
      </c>
      <c r="T89" s="68">
        <f t="shared" si="87"/>
        <v>167076.16999999981</v>
      </c>
      <c r="U89" s="68">
        <f>+U88+U81</f>
        <v>-2334153.9035960003</v>
      </c>
      <c r="V89" s="68" t="s">
        <v>9</v>
      </c>
      <c r="W89" s="94"/>
      <c r="X89" s="95">
        <f t="shared" si="82"/>
        <v>-17.293938902691419</v>
      </c>
      <c r="Y89" s="95">
        <f t="shared" si="82"/>
        <v>24.921254279163296</v>
      </c>
      <c r="Z89" s="95">
        <f t="shared" si="82"/>
        <v>66.628717179623308</v>
      </c>
      <c r="AA89" s="95">
        <f t="shared" si="82"/>
        <v>6.5532521540290212E-2</v>
      </c>
      <c r="AB89" s="104">
        <f t="shared" si="82"/>
        <v>-130.72713704287904</v>
      </c>
      <c r="AC89" s="95">
        <f>((H89/G89)-1)*100</f>
        <v>336.28246558136868</v>
      </c>
      <c r="AD89" s="306">
        <f t="shared" si="80"/>
        <v>-28.885256768983801</v>
      </c>
      <c r="AE89" s="310">
        <f t="shared" si="80"/>
        <v>-21.122413020146201</v>
      </c>
      <c r="AF89" s="312"/>
      <c r="AG89" s="312"/>
      <c r="AH89" s="312"/>
      <c r="AI89" s="312"/>
      <c r="AJ89" s="312"/>
      <c r="AK89" s="313"/>
      <c r="AL89" s="265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BB89" s="265"/>
      <c r="BC89" s="312"/>
      <c r="BD89" s="265"/>
      <c r="BE89" s="265"/>
      <c r="BF89" s="265"/>
    </row>
    <row r="90" spans="1:61" ht="11.55" customHeight="1">
      <c r="A90" s="85" t="s">
        <v>32</v>
      </c>
      <c r="B90" s="64">
        <f t="shared" ref="B90:U90" si="88">+B75+B81+B88</f>
        <v>-208601.3</v>
      </c>
      <c r="C90" s="64">
        <f t="shared" si="88"/>
        <v>-229802.80000000002</v>
      </c>
      <c r="D90" s="64">
        <f t="shared" si="88"/>
        <v>-231658.8</v>
      </c>
      <c r="E90" s="64">
        <f t="shared" si="88"/>
        <v>-357281.1</v>
      </c>
      <c r="F90" s="64">
        <f t="shared" si="88"/>
        <v>-421785.89999999997</v>
      </c>
      <c r="G90" s="64">
        <f t="shared" si="88"/>
        <v>-117581.16999999998</v>
      </c>
      <c r="H90" s="64">
        <f t="shared" si="88"/>
        <v>474023.04999999993</v>
      </c>
      <c r="I90" s="64">
        <f t="shared" si="88"/>
        <v>306858.087405</v>
      </c>
      <c r="J90" s="64">
        <f t="shared" si="88"/>
        <v>273931.59999999998</v>
      </c>
      <c r="K90" s="64">
        <f t="shared" si="88"/>
        <v>135742.27999999997</v>
      </c>
      <c r="L90" s="64">
        <f t="shared" si="88"/>
        <v>149050.35999999996</v>
      </c>
      <c r="M90" s="64">
        <f t="shared" si="88"/>
        <v>186854.25000000009</v>
      </c>
      <c r="N90" s="64">
        <f t="shared" si="88"/>
        <v>72622.98000000004</v>
      </c>
      <c r="O90" s="64">
        <f t="shared" si="88"/>
        <v>-315333.58999999991</v>
      </c>
      <c r="P90" s="64">
        <f t="shared" si="88"/>
        <v>-5550.2900000000373</v>
      </c>
      <c r="Q90" s="64">
        <f t="shared" si="88"/>
        <v>431932.82000000007</v>
      </c>
      <c r="R90" s="64">
        <f t="shared" si="88"/>
        <v>-111111.33999999991</v>
      </c>
      <c r="S90" s="64">
        <f t="shared" si="88"/>
        <v>592614.93568400014</v>
      </c>
      <c r="T90" s="64">
        <f t="shared" si="88"/>
        <v>319710.80144099978</v>
      </c>
      <c r="U90" s="64">
        <f t="shared" si="88"/>
        <v>-2363766.7676690002</v>
      </c>
      <c r="V90" s="64" t="s">
        <v>9</v>
      </c>
      <c r="W90" s="94"/>
      <c r="X90" s="97">
        <f t="shared" si="82"/>
        <v>10.163647110540563</v>
      </c>
      <c r="Y90" s="97">
        <f t="shared" si="82"/>
        <v>0.80764899296263959</v>
      </c>
      <c r="Z90" s="97">
        <f t="shared" si="82"/>
        <v>54.227294624680788</v>
      </c>
      <c r="AA90" s="97">
        <f t="shared" si="82"/>
        <v>18.05435552006529</v>
      </c>
      <c r="AB90" s="97">
        <f t="shared" si="82"/>
        <v>-72.123020233725214</v>
      </c>
      <c r="AC90" s="97">
        <f>((H90/G90)-1)*100</f>
        <v>-503.14537608360251</v>
      </c>
      <c r="AD90" s="308">
        <f t="shared" si="80"/>
        <v>-35.265154847427773</v>
      </c>
      <c r="AE90" s="319">
        <f t="shared" si="80"/>
        <v>-10.730200296641589</v>
      </c>
      <c r="AF90" s="312"/>
      <c r="AG90" s="312"/>
      <c r="AH90" s="312"/>
      <c r="AI90" s="312"/>
      <c r="AJ90" s="312"/>
      <c r="AK90" s="312"/>
      <c r="AL90" s="314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7"/>
      <c r="AZ90" s="77"/>
      <c r="BB90" s="265"/>
      <c r="BC90" s="312"/>
      <c r="BD90" s="265"/>
      <c r="BE90" s="265"/>
      <c r="BF90" s="265"/>
    </row>
    <row r="91" spans="1:61" ht="11.7" customHeight="1">
      <c r="A91" s="384" t="s">
        <v>0</v>
      </c>
      <c r="B91" s="384"/>
      <c r="C91" s="384"/>
      <c r="D91" s="384"/>
      <c r="E91" s="384"/>
      <c r="F91" s="384"/>
      <c r="G91" s="384"/>
      <c r="H91" s="384"/>
      <c r="I91" s="384"/>
      <c r="J91" s="384"/>
      <c r="K91" s="384"/>
      <c r="L91" s="384"/>
      <c r="M91" s="384"/>
      <c r="N91" s="384"/>
      <c r="O91" s="384"/>
      <c r="P91" s="384"/>
      <c r="Q91" s="384"/>
      <c r="R91" s="384"/>
      <c r="S91" s="384"/>
      <c r="T91" s="384"/>
      <c r="U91" s="384"/>
      <c r="V91" s="384"/>
      <c r="W91" s="14"/>
      <c r="X91" s="15"/>
      <c r="Y91" s="15"/>
      <c r="Z91" s="14"/>
      <c r="AA91" s="22"/>
      <c r="AB91" s="22"/>
      <c r="AC91" s="13"/>
      <c r="AD91" s="22"/>
      <c r="AE91" s="2"/>
      <c r="AF91" s="61"/>
      <c r="AG91" s="384" t="s">
        <v>1</v>
      </c>
      <c r="AH91" s="384"/>
      <c r="AI91" s="384"/>
      <c r="AJ91" s="384"/>
      <c r="AK91" s="384"/>
      <c r="AL91" s="384"/>
      <c r="AM91" s="384"/>
      <c r="AN91" s="384"/>
      <c r="AO91" s="384"/>
      <c r="AP91" s="384"/>
      <c r="AQ91" s="384"/>
      <c r="AR91" s="384"/>
      <c r="AS91" s="384"/>
      <c r="AT91" s="384"/>
      <c r="AU91" s="384"/>
      <c r="AV91" s="384"/>
      <c r="AW91" s="384"/>
      <c r="AX91" s="384"/>
      <c r="AY91" s="384"/>
      <c r="AZ91" s="384"/>
      <c r="BA91" s="384"/>
      <c r="BB91" s="384"/>
      <c r="BC91" s="384"/>
      <c r="BD91" s="384"/>
      <c r="BE91" s="384"/>
      <c r="BF91" s="384"/>
    </row>
    <row r="92" spans="1:61" ht="11.7" customHeight="1">
      <c r="B92" s="1"/>
      <c r="E92" s="3"/>
      <c r="G92" s="4"/>
      <c r="H92" s="4"/>
      <c r="I92" s="4"/>
      <c r="J92" s="4"/>
      <c r="K92" s="17"/>
      <c r="L92" s="17"/>
      <c r="M92" s="17"/>
      <c r="O92" s="17"/>
      <c r="P92" s="17"/>
      <c r="S92" s="17"/>
      <c r="U92" s="17"/>
      <c r="V92" s="17" t="s">
        <v>37</v>
      </c>
      <c r="W92" s="17"/>
      <c r="X92" s="10"/>
      <c r="Y92" s="10"/>
      <c r="Z92" s="10"/>
      <c r="AA92" s="11"/>
      <c r="AB92" s="10"/>
      <c r="AC92" s="12"/>
      <c r="AD92" s="12"/>
      <c r="AE92" s="12"/>
      <c r="AF92" s="12"/>
      <c r="AG92" s="17"/>
      <c r="AH92" s="17"/>
      <c r="AI92" s="17"/>
      <c r="AK92" s="17"/>
      <c r="AL92" s="17"/>
      <c r="AM92" s="17"/>
      <c r="AS92" s="4"/>
      <c r="AT92" s="4"/>
      <c r="AU92" s="4"/>
      <c r="AV92" s="4"/>
      <c r="AW92" s="17"/>
      <c r="AX92" s="17"/>
      <c r="AY92" s="17"/>
      <c r="AZ92" s="17"/>
      <c r="BA92" s="17" t="s">
        <v>3</v>
      </c>
      <c r="BB92" s="17"/>
      <c r="BC92" s="17"/>
      <c r="BE92" s="17"/>
      <c r="BF92" s="17" t="s">
        <v>3</v>
      </c>
    </row>
    <row r="93" spans="1:61" ht="11.7" customHeight="1">
      <c r="A93" s="81"/>
      <c r="B93" s="75">
        <v>2535</v>
      </c>
      <c r="C93" s="25">
        <v>2536</v>
      </c>
      <c r="D93" s="25">
        <v>2537</v>
      </c>
      <c r="E93" s="25">
        <v>2538</v>
      </c>
      <c r="F93" s="25">
        <v>2539</v>
      </c>
      <c r="G93" s="25">
        <v>2540</v>
      </c>
      <c r="H93" s="25">
        <v>2541</v>
      </c>
      <c r="I93" s="25">
        <v>2542</v>
      </c>
      <c r="J93" s="25">
        <v>2543</v>
      </c>
      <c r="K93" s="25">
        <v>2544</v>
      </c>
      <c r="L93" s="25">
        <v>2545</v>
      </c>
      <c r="M93" s="75">
        <v>2546</v>
      </c>
      <c r="N93" s="75">
        <v>2547</v>
      </c>
      <c r="O93" s="75">
        <v>2548</v>
      </c>
      <c r="P93" s="75">
        <v>2549</v>
      </c>
      <c r="Q93" s="75">
        <v>2550</v>
      </c>
      <c r="R93" s="107">
        <v>2551</v>
      </c>
      <c r="S93" s="75">
        <v>2552</v>
      </c>
      <c r="T93" s="107">
        <v>2553</v>
      </c>
      <c r="U93" s="107">
        <v>2554</v>
      </c>
      <c r="V93" s="107">
        <v>2555</v>
      </c>
      <c r="W93" s="21"/>
      <c r="X93" s="20">
        <v>2536</v>
      </c>
      <c r="Y93" s="20">
        <v>2537</v>
      </c>
      <c r="Z93" s="20">
        <v>2538</v>
      </c>
      <c r="AA93" s="20">
        <v>2539</v>
      </c>
      <c r="AB93" s="20">
        <v>2540</v>
      </c>
      <c r="AC93" s="20">
        <v>2541</v>
      </c>
      <c r="AD93" s="25">
        <v>2542</v>
      </c>
      <c r="AE93" s="25">
        <v>2543</v>
      </c>
      <c r="AF93" s="25">
        <v>2544</v>
      </c>
      <c r="AG93" s="25">
        <v>2545</v>
      </c>
      <c r="AH93" s="75">
        <v>2546</v>
      </c>
      <c r="AI93" s="75">
        <v>2547</v>
      </c>
      <c r="AJ93" s="75">
        <v>2548</v>
      </c>
      <c r="AK93" s="75">
        <v>2549</v>
      </c>
      <c r="AL93" s="75">
        <v>2550</v>
      </c>
      <c r="AM93" s="108"/>
      <c r="AN93" s="19">
        <v>2536</v>
      </c>
      <c r="AO93" s="19">
        <v>2537</v>
      </c>
      <c r="AP93" s="19">
        <v>2538</v>
      </c>
      <c r="AQ93" s="19">
        <v>2539</v>
      </c>
      <c r="AR93" s="19">
        <v>2540</v>
      </c>
      <c r="AS93" s="19">
        <v>2541</v>
      </c>
      <c r="AT93" s="19">
        <v>2542</v>
      </c>
      <c r="AU93" s="19">
        <v>2543</v>
      </c>
      <c r="AV93" s="19">
        <v>2544</v>
      </c>
      <c r="AW93" s="19">
        <v>2545</v>
      </c>
      <c r="AX93" s="19">
        <v>2546</v>
      </c>
      <c r="AY93" s="109">
        <v>2547</v>
      </c>
      <c r="AZ93" s="75">
        <v>2548</v>
      </c>
      <c r="BA93" s="75">
        <v>2549</v>
      </c>
      <c r="BB93" s="107">
        <v>2551</v>
      </c>
      <c r="BC93" s="107">
        <v>2552</v>
      </c>
      <c r="BD93" s="107">
        <v>2553</v>
      </c>
      <c r="BE93" s="107">
        <v>2554</v>
      </c>
      <c r="BF93" s="107">
        <v>2555</v>
      </c>
    </row>
    <row r="94" spans="1:61" ht="11.7" customHeight="1">
      <c r="A94" s="82" t="s">
        <v>4</v>
      </c>
      <c r="B94" s="34">
        <v>2631.1839491458081</v>
      </c>
      <c r="C94" s="34">
        <v>2423.3031496062995</v>
      </c>
      <c r="D94" s="34">
        <v>3035.1555730602599</v>
      </c>
      <c r="E94" s="34">
        <v>3995.511590727418</v>
      </c>
      <c r="F94" s="34">
        <v>4525.6122856003194</v>
      </c>
      <c r="G94" s="34">
        <v>4666.4399999999996</v>
      </c>
      <c r="H94" s="34">
        <v>4283.82</v>
      </c>
      <c r="I94" s="33">
        <v>4056.8</v>
      </c>
      <c r="J94" s="33">
        <v>5302.87</v>
      </c>
      <c r="K94" s="33">
        <v>5187.21</v>
      </c>
      <c r="L94" s="33">
        <v>4856.8100000000004</v>
      </c>
      <c r="M94" s="34">
        <v>6112.42</v>
      </c>
      <c r="N94" s="34">
        <v>7103.58</v>
      </c>
      <c r="O94" s="34">
        <v>7855</v>
      </c>
      <c r="P94" s="34">
        <v>8905.81</v>
      </c>
      <c r="Q94" s="34">
        <v>10483.11</v>
      </c>
      <c r="R94" s="105">
        <v>14268.97</v>
      </c>
      <c r="S94" s="34">
        <v>10489.097485</v>
      </c>
      <c r="T94" s="33">
        <v>13698.84</v>
      </c>
      <c r="U94" s="33">
        <v>16158.23</v>
      </c>
      <c r="V94" s="33">
        <v>15736.7</v>
      </c>
      <c r="W94" s="35"/>
      <c r="X94" s="36">
        <f t="shared" ref="X94:AL113" si="89">((C94/B94)-1)*100</f>
        <v>-7.9006562656706469</v>
      </c>
      <c r="Y94" s="36">
        <f t="shared" si="89"/>
        <v>25.248695094271014</v>
      </c>
      <c r="Z94" s="36">
        <f t="shared" si="89"/>
        <v>31.641080483359161</v>
      </c>
      <c r="AA94" s="36">
        <f t="shared" si="89"/>
        <v>13.267404757456646</v>
      </c>
      <c r="AB94" s="36">
        <f t="shared" si="89"/>
        <v>3.111793620672465</v>
      </c>
      <c r="AC94" s="36">
        <f t="shared" si="89"/>
        <v>-8.1993982564867451</v>
      </c>
      <c r="AD94" s="37">
        <f t="shared" si="89"/>
        <v>-5.2994757015934262</v>
      </c>
      <c r="AE94" s="37">
        <f t="shared" si="89"/>
        <v>30.715588641293621</v>
      </c>
      <c r="AF94" s="37">
        <f t="shared" si="89"/>
        <v>-2.1810830738826281</v>
      </c>
      <c r="AG94" s="37">
        <f>((L94/K94)-1)*100</f>
        <v>-6.3695127052885825</v>
      </c>
      <c r="AH94" s="37">
        <f>((M94/L94)-1)*100</f>
        <v>25.852565778772487</v>
      </c>
      <c r="AI94" s="37">
        <f>((N94/M94)-1)*100</f>
        <v>16.215508751034768</v>
      </c>
      <c r="AJ94" s="37">
        <f>((O94/N94)-1)*100</f>
        <v>10.578046562437526</v>
      </c>
      <c r="AK94" s="37">
        <f t="shared" ref="AK94:AL109" si="90">((P94/O94)-1)*100</f>
        <v>13.377593889242512</v>
      </c>
      <c r="AL94" s="37">
        <f t="shared" si="90"/>
        <v>17.710910068820262</v>
      </c>
      <c r="AN94" s="37">
        <f t="shared" ref="AN94:AZ95" si="91">+(C94/C$120)*100</f>
        <v>6.4924818347473527</v>
      </c>
      <c r="AO94" s="37">
        <f t="shared" si="91"/>
        <v>6.6809453457533499</v>
      </c>
      <c r="AP94" s="37">
        <f t="shared" si="91"/>
        <v>7.0436143736948429</v>
      </c>
      <c r="AQ94" s="37">
        <f t="shared" si="91"/>
        <v>8.0899102391887414</v>
      </c>
      <c r="AR94" s="37">
        <f t="shared" si="91"/>
        <v>7.9994994355793301</v>
      </c>
      <c r="AS94" s="37">
        <f t="shared" si="91"/>
        <v>7.861652591013371</v>
      </c>
      <c r="AT94" s="37">
        <f t="shared" si="91"/>
        <v>6.9390362696693408</v>
      </c>
      <c r="AU94" s="37">
        <f t="shared" si="91"/>
        <v>7.6164134789837554</v>
      </c>
      <c r="AV94" s="37">
        <f t="shared" si="91"/>
        <v>7.9578903960420497</v>
      </c>
      <c r="AW94" s="37">
        <f t="shared" si="91"/>
        <v>7.1259841710983904</v>
      </c>
      <c r="AX94" s="37">
        <f t="shared" si="91"/>
        <v>7.6367066466766627</v>
      </c>
      <c r="AY94" s="37">
        <f t="shared" si="91"/>
        <v>7.3610061631346815</v>
      </c>
      <c r="AZ94" s="37">
        <f t="shared" si="91"/>
        <v>7.0805531683289527</v>
      </c>
      <c r="BA94" s="79"/>
      <c r="BB94" s="37">
        <f t="shared" ref="BB94:BF120" si="92">((R94/Q94)-1)*100</f>
        <v>36.113901313636873</v>
      </c>
      <c r="BC94" s="37">
        <f t="shared" si="92"/>
        <v>-26.490156717688794</v>
      </c>
      <c r="BD94" s="115">
        <f t="shared" si="92"/>
        <v>30.600750155960622</v>
      </c>
      <c r="BE94" s="115">
        <f t="shared" si="92"/>
        <v>17.953271955873639</v>
      </c>
      <c r="BF94" s="115">
        <f t="shared" si="92"/>
        <v>-2.6087634598591536</v>
      </c>
      <c r="BH94" s="262">
        <f t="shared" ref="BH94:BH117" si="93">+U94</f>
        <v>16158.23</v>
      </c>
      <c r="BI94" s="263">
        <f>+BH94/BH$120</f>
        <v>0.10521886064533967</v>
      </c>
    </row>
    <row r="95" spans="1:61" ht="11.7" customHeight="1">
      <c r="A95" s="82" t="s">
        <v>5</v>
      </c>
      <c r="B95" s="34">
        <v>2294.6893549663632</v>
      </c>
      <c r="C95" s="34">
        <v>2777.7760252365929</v>
      </c>
      <c r="D95" s="34">
        <v>2967.7256602286161</v>
      </c>
      <c r="E95" s="34">
        <v>3995.1121794871792</v>
      </c>
      <c r="F95" s="34">
        <v>4677.6475247524759</v>
      </c>
      <c r="G95" s="34">
        <v>4353.1099999999997</v>
      </c>
      <c r="H95" s="34">
        <v>4488.3999999999996</v>
      </c>
      <c r="I95" s="34">
        <v>4238.6400000000003</v>
      </c>
      <c r="J95" s="34">
        <v>5406.06</v>
      </c>
      <c r="K95" s="34">
        <v>5261.08</v>
      </c>
      <c r="L95" s="34">
        <v>4863.3500000000004</v>
      </c>
      <c r="M95" s="34">
        <v>6064.28</v>
      </c>
      <c r="N95" s="34">
        <v>7341.36</v>
      </c>
      <c r="O95" s="34">
        <v>7770.21</v>
      </c>
      <c r="P95" s="34">
        <v>9484.2999999999993</v>
      </c>
      <c r="Q95" s="34">
        <v>11158.79</v>
      </c>
      <c r="R95" s="105">
        <v>13234.69</v>
      </c>
      <c r="S95" s="34">
        <v>11696.369457000001</v>
      </c>
      <c r="T95" s="34">
        <v>14403.01</v>
      </c>
      <c r="U95" s="105">
        <v>18356.240000000002</v>
      </c>
      <c r="V95" s="105">
        <v>19038.84</v>
      </c>
      <c r="W95" s="35"/>
      <c r="X95" s="36">
        <f t="shared" si="89"/>
        <v>21.052377709631685</v>
      </c>
      <c r="Y95" s="36">
        <f t="shared" si="89"/>
        <v>6.8381911740290402</v>
      </c>
      <c r="Z95" s="36">
        <f t="shared" si="89"/>
        <v>34.618648651621633</v>
      </c>
      <c r="AA95" s="36">
        <f t="shared" si="89"/>
        <v>17.084259830543935</v>
      </c>
      <c r="AB95" s="36">
        <f t="shared" si="89"/>
        <v>-6.9380500141393071</v>
      </c>
      <c r="AC95" s="36">
        <f t="shared" si="89"/>
        <v>3.1078929776642505</v>
      </c>
      <c r="AD95" s="37">
        <f t="shared" si="89"/>
        <v>-5.564566437928864</v>
      </c>
      <c r="AE95" s="37">
        <f t="shared" si="89"/>
        <v>27.542324896664972</v>
      </c>
      <c r="AF95" s="37">
        <f t="shared" si="89"/>
        <v>-2.6818052333862474</v>
      </c>
      <c r="AG95" s="37">
        <f t="shared" si="89"/>
        <v>-7.5598546306081538</v>
      </c>
      <c r="AH95" s="37">
        <f t="shared" si="89"/>
        <v>24.693472606331014</v>
      </c>
      <c r="AI95" s="37">
        <f t="shared" si="89"/>
        <v>21.059054001464304</v>
      </c>
      <c r="AJ95" s="37">
        <f t="shared" si="89"/>
        <v>5.8415606917519458</v>
      </c>
      <c r="AK95" s="37">
        <f t="shared" si="90"/>
        <v>22.059764150518447</v>
      </c>
      <c r="AL95" s="37">
        <f t="shared" si="90"/>
        <v>17.655388378689008</v>
      </c>
      <c r="AN95" s="37">
        <f t="shared" si="91"/>
        <v>7.4421808875935618</v>
      </c>
      <c r="AO95" s="37">
        <f t="shared" si="91"/>
        <v>6.5325194903225192</v>
      </c>
      <c r="AP95" s="37">
        <f t="shared" si="91"/>
        <v>7.0429102589178285</v>
      </c>
      <c r="AQ95" s="37">
        <f t="shared" si="91"/>
        <v>8.3616859372192653</v>
      </c>
      <c r="AR95" s="37">
        <f t="shared" si="91"/>
        <v>7.4623698125369096</v>
      </c>
      <c r="AS95" s="37">
        <f t="shared" si="91"/>
        <v>8.2370971444888941</v>
      </c>
      <c r="AT95" s="37">
        <f t="shared" si="91"/>
        <v>7.250068205006718</v>
      </c>
      <c r="AU95" s="37">
        <f t="shared" si="91"/>
        <v>7.7646233553141837</v>
      </c>
      <c r="AV95" s="37">
        <f t="shared" si="91"/>
        <v>8.0712170906535317</v>
      </c>
      <c r="AW95" s="37">
        <f t="shared" si="91"/>
        <v>7.1355797567768473</v>
      </c>
      <c r="AX95" s="37">
        <f t="shared" si="91"/>
        <v>7.5765617191404289</v>
      </c>
      <c r="AY95" s="37">
        <f t="shared" si="91"/>
        <v>7.6074030567390549</v>
      </c>
      <c r="AZ95" s="37">
        <f t="shared" si="91"/>
        <v>7.0041228560256279</v>
      </c>
      <c r="BA95" s="79"/>
      <c r="BB95" s="37">
        <f t="shared" si="92"/>
        <v>18.603271501659236</v>
      </c>
      <c r="BC95" s="37">
        <f t="shared" si="92"/>
        <v>-11.623396868381498</v>
      </c>
      <c r="BD95" s="37">
        <f t="shared" si="92"/>
        <v>23.140860528992093</v>
      </c>
      <c r="BE95" s="37">
        <f t="shared" si="92"/>
        <v>27.447248873672937</v>
      </c>
      <c r="BF95" s="37">
        <f t="shared" si="92"/>
        <v>3.7186264725237672</v>
      </c>
      <c r="BH95" s="262">
        <f t="shared" si="93"/>
        <v>18356.240000000002</v>
      </c>
      <c r="BI95" s="263">
        <f>+BH95/BH$120</f>
        <v>0.11953182115444638</v>
      </c>
    </row>
    <row r="96" spans="1:61" ht="11.7" hidden="1" customHeight="1">
      <c r="A96" s="83" t="s">
        <v>6</v>
      </c>
      <c r="B96" s="38">
        <f t="shared" ref="B96:U96" si="94">+B94+B95</f>
        <v>4925.8733041121714</v>
      </c>
      <c r="C96" s="38">
        <f t="shared" si="94"/>
        <v>5201.0791748428928</v>
      </c>
      <c r="D96" s="38">
        <f t="shared" si="94"/>
        <v>6002.8812332888756</v>
      </c>
      <c r="E96" s="38">
        <f t="shared" si="94"/>
        <v>7990.6237702145972</v>
      </c>
      <c r="F96" s="38">
        <f t="shared" si="94"/>
        <v>9203.2598103527962</v>
      </c>
      <c r="G96" s="38">
        <f t="shared" si="94"/>
        <v>9019.5499999999993</v>
      </c>
      <c r="H96" s="38">
        <f t="shared" si="94"/>
        <v>8772.2199999999993</v>
      </c>
      <c r="I96" s="38">
        <f t="shared" si="94"/>
        <v>8295.44</v>
      </c>
      <c r="J96" s="38">
        <f t="shared" si="94"/>
        <v>10708.93</v>
      </c>
      <c r="K96" s="38">
        <f t="shared" si="94"/>
        <v>10448.290000000001</v>
      </c>
      <c r="L96" s="38">
        <f t="shared" si="94"/>
        <v>9720.16</v>
      </c>
      <c r="M96" s="38">
        <f t="shared" si="94"/>
        <v>12176.7</v>
      </c>
      <c r="N96" s="38">
        <f t="shared" si="94"/>
        <v>14444.939999999999</v>
      </c>
      <c r="O96" s="38">
        <f t="shared" si="94"/>
        <v>15625.21</v>
      </c>
      <c r="P96" s="38">
        <f t="shared" si="94"/>
        <v>18390.11</v>
      </c>
      <c r="Q96" s="38">
        <f t="shared" si="94"/>
        <v>21641.9</v>
      </c>
      <c r="R96" s="38">
        <f t="shared" si="94"/>
        <v>27503.66</v>
      </c>
      <c r="S96" s="38">
        <f t="shared" si="94"/>
        <v>22185.466941999999</v>
      </c>
      <c r="T96" s="38">
        <f t="shared" si="94"/>
        <v>28101.85</v>
      </c>
      <c r="U96" s="38">
        <f t="shared" si="94"/>
        <v>34514.47</v>
      </c>
      <c r="V96" s="38">
        <f>+V94+V95</f>
        <v>34775.54</v>
      </c>
      <c r="W96" s="39"/>
      <c r="X96" s="40">
        <f t="shared" si="89"/>
        <v>5.5869457807811829</v>
      </c>
      <c r="Y96" s="40">
        <f t="shared" si="89"/>
        <v>15.416071001653275</v>
      </c>
      <c r="Z96" s="40">
        <f t="shared" si="89"/>
        <v>33.113141167989959</v>
      </c>
      <c r="AA96" s="40">
        <f t="shared" si="89"/>
        <v>15.175736901271119</v>
      </c>
      <c r="AB96" s="40">
        <f t="shared" si="89"/>
        <v>-1.996138478521936</v>
      </c>
      <c r="AC96" s="40">
        <f t="shared" si="89"/>
        <v>-2.7421545420780458</v>
      </c>
      <c r="AD96" s="253">
        <f t="shared" si="89"/>
        <v>-5.4351122064882018</v>
      </c>
      <c r="AE96" s="253">
        <f t="shared" si="89"/>
        <v>29.09417704184467</v>
      </c>
      <c r="AF96" s="253">
        <f t="shared" si="89"/>
        <v>-2.4338566037876763</v>
      </c>
      <c r="AG96" s="253">
        <f t="shared" si="89"/>
        <v>-6.9688915602457495</v>
      </c>
      <c r="AH96" s="253">
        <f t="shared" si="89"/>
        <v>25.272629257131584</v>
      </c>
      <c r="AI96" s="253">
        <f t="shared" si="89"/>
        <v>18.627707014215655</v>
      </c>
      <c r="AJ96" s="253">
        <f t="shared" si="89"/>
        <v>8.1708196780325935</v>
      </c>
      <c r="AK96" s="253">
        <f t="shared" si="90"/>
        <v>17.695122177557955</v>
      </c>
      <c r="AL96" s="253">
        <f t="shared" si="90"/>
        <v>17.68227596246026</v>
      </c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79"/>
      <c r="BB96" s="253">
        <f t="shared" si="92"/>
        <v>27.085237432942577</v>
      </c>
      <c r="BC96" s="253">
        <f t="shared" si="92"/>
        <v>-19.336310360148435</v>
      </c>
      <c r="BD96" s="253">
        <f t="shared" si="92"/>
        <v>26.66783202475451</v>
      </c>
      <c r="BE96" s="253">
        <f t="shared" si="92"/>
        <v>22.819209411480035</v>
      </c>
      <c r="BF96" s="37">
        <f t="shared" si="92"/>
        <v>0.75640738507645189</v>
      </c>
      <c r="BH96" s="262">
        <f t="shared" si="93"/>
        <v>34514.47</v>
      </c>
      <c r="BI96" s="263">
        <f t="shared" ref="BI96:BI103" si="95">+BH96/BH$120</f>
        <v>0.22475068179978605</v>
      </c>
    </row>
    <row r="97" spans="1:64" ht="11.7" customHeight="1">
      <c r="A97" s="82" t="s">
        <v>7</v>
      </c>
      <c r="B97" s="34">
        <v>2718.1878930817606</v>
      </c>
      <c r="C97" s="34">
        <v>2982.2103598260187</v>
      </c>
      <c r="D97" s="34">
        <v>4116.5293185419969</v>
      </c>
      <c r="E97" s="34">
        <v>5188.913043478261</v>
      </c>
      <c r="F97" s="34">
        <v>4915.7273814268638</v>
      </c>
      <c r="G97" s="34">
        <v>5031.7</v>
      </c>
      <c r="H97" s="34">
        <v>4866.5200000000004</v>
      </c>
      <c r="I97" s="34">
        <v>4777.37</v>
      </c>
      <c r="J97" s="34">
        <v>5839.43</v>
      </c>
      <c r="K97" s="34">
        <v>6066.98</v>
      </c>
      <c r="L97" s="34">
        <v>5688.31</v>
      </c>
      <c r="M97" s="34">
        <v>6612.12</v>
      </c>
      <c r="N97" s="34">
        <v>7947.48</v>
      </c>
      <c r="O97" s="34">
        <v>9607.3799999999992</v>
      </c>
      <c r="P97" s="34">
        <v>11065.93</v>
      </c>
      <c r="Q97" s="34">
        <v>12909.57</v>
      </c>
      <c r="R97" s="105">
        <v>15018.62</v>
      </c>
      <c r="S97" s="34">
        <v>11533.475195000001</v>
      </c>
      <c r="T97" s="34">
        <v>16279.87</v>
      </c>
      <c r="U97" s="34">
        <v>20878.32</v>
      </c>
      <c r="V97" s="34">
        <v>19866.27</v>
      </c>
      <c r="W97" s="35"/>
      <c r="X97" s="36">
        <f t="shared" si="89"/>
        <v>9.7131794095705928</v>
      </c>
      <c r="Y97" s="36">
        <f t="shared" si="89"/>
        <v>38.036181954050832</v>
      </c>
      <c r="Z97" s="36">
        <f t="shared" si="89"/>
        <v>26.050676236069759</v>
      </c>
      <c r="AA97" s="36">
        <f t="shared" si="89"/>
        <v>-5.2647955315950679</v>
      </c>
      <c r="AB97" s="36">
        <f t="shared" si="89"/>
        <v>2.3592158306279698</v>
      </c>
      <c r="AC97" s="36">
        <f t="shared" si="89"/>
        <v>-3.2827871295983302</v>
      </c>
      <c r="AD97" s="37">
        <f t="shared" si="89"/>
        <v>-1.8319045231500186</v>
      </c>
      <c r="AE97" s="37">
        <f t="shared" si="89"/>
        <v>22.231060185834473</v>
      </c>
      <c r="AF97" s="37">
        <f t="shared" si="89"/>
        <v>3.8967844464271151</v>
      </c>
      <c r="AG97" s="37">
        <f t="shared" si="89"/>
        <v>-6.241490824100282</v>
      </c>
      <c r="AH97" s="37">
        <f t="shared" si="89"/>
        <v>16.240500254029744</v>
      </c>
      <c r="AI97" s="37">
        <f t="shared" si="89"/>
        <v>20.195640732473088</v>
      </c>
      <c r="AJ97" s="37">
        <f t="shared" si="89"/>
        <v>20.885865708375473</v>
      </c>
      <c r="AK97" s="37">
        <f t="shared" si="90"/>
        <v>15.181558343689971</v>
      </c>
      <c r="AL97" s="37">
        <f t="shared" si="90"/>
        <v>16.660506618061021</v>
      </c>
      <c r="AN97" s="37">
        <f t="shared" ref="AN97:AZ99" si="96">+(C97/C$120)*100</f>
        <v>7.989898660310585</v>
      </c>
      <c r="AO97" s="37">
        <f t="shared" si="96"/>
        <v>9.0612513030561335</v>
      </c>
      <c r="AP97" s="37">
        <f t="shared" si="96"/>
        <v>9.1474399878394834</v>
      </c>
      <c r="AQ97" s="37">
        <f t="shared" si="96"/>
        <v>8.7872735812123324</v>
      </c>
      <c r="AR97" s="37">
        <f t="shared" si="96"/>
        <v>8.6256506694620558</v>
      </c>
      <c r="AS97" s="37">
        <f t="shared" si="96"/>
        <v>8.9310217439617912</v>
      </c>
      <c r="AT97" s="37">
        <f t="shared" si="96"/>
        <v>8.171549917084949</v>
      </c>
      <c r="AU97" s="37">
        <f t="shared" si="96"/>
        <v>8.3870646200231409</v>
      </c>
      <c r="AV97" s="37">
        <f t="shared" si="96"/>
        <v>9.3075780380935402</v>
      </c>
      <c r="AW97" s="37">
        <f t="shared" si="96"/>
        <v>8.3459733900030439</v>
      </c>
      <c r="AX97" s="37">
        <f t="shared" si="96"/>
        <v>8.2610194902548724</v>
      </c>
      <c r="AY97" s="37">
        <f t="shared" si="96"/>
        <v>8.2354881991037772</v>
      </c>
      <c r="AZ97" s="37">
        <f t="shared" si="96"/>
        <v>8.6601610309790207</v>
      </c>
      <c r="BA97" s="79"/>
      <c r="BB97" s="37">
        <f t="shared" si="92"/>
        <v>16.337104953921799</v>
      </c>
      <c r="BC97" s="37">
        <f t="shared" si="92"/>
        <v>-23.205492948087102</v>
      </c>
      <c r="BD97" s="37">
        <f t="shared" si="92"/>
        <v>41.153205991700226</v>
      </c>
      <c r="BE97" s="37">
        <f t="shared" si="92"/>
        <v>28.246232924464376</v>
      </c>
      <c r="BF97" s="37">
        <f t="shared" si="92"/>
        <v>-4.8473727771199959</v>
      </c>
      <c r="BH97" s="262">
        <f t="shared" si="93"/>
        <v>20878.32</v>
      </c>
      <c r="BI97" s="263">
        <f t="shared" si="95"/>
        <v>0.13595505464328755</v>
      </c>
    </row>
    <row r="98" spans="1:64" ht="11.7" customHeight="1">
      <c r="A98" s="84" t="s">
        <v>8</v>
      </c>
      <c r="B98" s="38">
        <v>7644.0611971939325</v>
      </c>
      <c r="C98" s="38">
        <v>8183.2895346689111</v>
      </c>
      <c r="D98" s="38">
        <v>10119.410551830872</v>
      </c>
      <c r="E98" s="38">
        <v>13179.536813692859</v>
      </c>
      <c r="F98" s="38">
        <v>14118.987191779659</v>
      </c>
      <c r="G98" s="38">
        <v>14051.25</v>
      </c>
      <c r="H98" s="38">
        <v>13638.74</v>
      </c>
      <c r="I98" s="38">
        <v>13072.81</v>
      </c>
      <c r="J98" s="38">
        <v>16548.36</v>
      </c>
      <c r="K98" s="38">
        <f t="shared" ref="K98:V98" si="97">+K94+K95+K97</f>
        <v>16515.27</v>
      </c>
      <c r="L98" s="38">
        <f t="shared" si="97"/>
        <v>15408.470000000001</v>
      </c>
      <c r="M98" s="38">
        <f t="shared" si="97"/>
        <v>18788.82</v>
      </c>
      <c r="N98" s="38">
        <f t="shared" si="97"/>
        <v>22392.42</v>
      </c>
      <c r="O98" s="38">
        <f t="shared" si="97"/>
        <v>25232.589999999997</v>
      </c>
      <c r="P98" s="38">
        <f t="shared" si="97"/>
        <v>29456.04</v>
      </c>
      <c r="Q98" s="38">
        <f t="shared" si="97"/>
        <v>34551.47</v>
      </c>
      <c r="R98" s="38">
        <f t="shared" si="97"/>
        <v>42522.28</v>
      </c>
      <c r="S98" s="38">
        <f t="shared" si="97"/>
        <v>33718.942136999998</v>
      </c>
      <c r="T98" s="38">
        <f t="shared" si="97"/>
        <v>44381.72</v>
      </c>
      <c r="U98" s="38">
        <f t="shared" si="97"/>
        <v>55392.79</v>
      </c>
      <c r="V98" s="38">
        <f t="shared" si="97"/>
        <v>54641.81</v>
      </c>
      <c r="W98" s="39"/>
      <c r="X98" s="40">
        <f t="shared" si="89"/>
        <v>7.0542127223278239</v>
      </c>
      <c r="Y98" s="40">
        <f t="shared" si="89"/>
        <v>23.659446594911348</v>
      </c>
      <c r="Z98" s="40">
        <f t="shared" si="89"/>
        <v>30.240163161562105</v>
      </c>
      <c r="AA98" s="40">
        <f t="shared" si="89"/>
        <v>7.128098592287091</v>
      </c>
      <c r="AB98" s="40">
        <f t="shared" si="89"/>
        <v>-0.47975956674213283</v>
      </c>
      <c r="AC98" s="40">
        <f t="shared" si="89"/>
        <v>-2.9357530468819504</v>
      </c>
      <c r="AD98" s="253">
        <f t="shared" si="89"/>
        <v>-4.1494302259592946</v>
      </c>
      <c r="AE98" s="253">
        <f t="shared" si="89"/>
        <v>26.586097403695153</v>
      </c>
      <c r="AF98" s="253">
        <f t="shared" si="89"/>
        <v>-0.19995939174637378</v>
      </c>
      <c r="AG98" s="253">
        <f t="shared" si="89"/>
        <v>-6.7016766907231906</v>
      </c>
      <c r="AH98" s="253">
        <f t="shared" si="89"/>
        <v>21.938258633076479</v>
      </c>
      <c r="AI98" s="253">
        <f t="shared" si="89"/>
        <v>19.179490782284358</v>
      </c>
      <c r="AJ98" s="253">
        <f t="shared" si="89"/>
        <v>12.683622404367178</v>
      </c>
      <c r="AK98" s="253">
        <f t="shared" si="90"/>
        <v>16.738075639480556</v>
      </c>
      <c r="AL98" s="253">
        <f t="shared" si="90"/>
        <v>17.298421647987983</v>
      </c>
      <c r="AN98" s="37">
        <f t="shared" si="96"/>
        <v>21.9245613826515</v>
      </c>
      <c r="AO98" s="37">
        <f t="shared" si="96"/>
        <v>22.274716139132</v>
      </c>
      <c r="AP98" s="37">
        <f t="shared" si="96"/>
        <v>23.233964620452159</v>
      </c>
      <c r="AQ98" s="37">
        <f t="shared" si="96"/>
        <v>25.238869757620336</v>
      </c>
      <c r="AR98" s="37">
        <f t="shared" si="96"/>
        <v>24.087519917578295</v>
      </c>
      <c r="AS98" s="37">
        <f t="shared" si="96"/>
        <v>25.02977147946406</v>
      </c>
      <c r="AT98" s="37">
        <f t="shared" si="96"/>
        <v>22.360654391761006</v>
      </c>
      <c r="AU98" s="37">
        <f t="shared" si="96"/>
        <v>23.76810145432108</v>
      </c>
      <c r="AV98" s="37">
        <f t="shared" si="96"/>
        <v>25.336685524789122</v>
      </c>
      <c r="AW98" s="37">
        <f t="shared" si="96"/>
        <v>22.607537317878283</v>
      </c>
      <c r="AX98" s="37">
        <f t="shared" si="96"/>
        <v>23.474287856071964</v>
      </c>
      <c r="AY98" s="37">
        <f t="shared" si="96"/>
        <v>23.203897418977512</v>
      </c>
      <c r="AZ98" s="37">
        <f t="shared" si="96"/>
        <v>22.744837055333598</v>
      </c>
      <c r="BA98" s="79"/>
      <c r="BB98" s="253">
        <f>((R98/Q98)-1)*100</f>
        <v>23.069380260810888</v>
      </c>
      <c r="BC98" s="253">
        <f t="shared" si="92"/>
        <v>-20.702882966294379</v>
      </c>
      <c r="BD98" s="253">
        <f t="shared" si="92"/>
        <v>31.622515972408504</v>
      </c>
      <c r="BE98" s="253">
        <f t="shared" si="92"/>
        <v>24.809921742555275</v>
      </c>
      <c r="BF98" s="253">
        <f t="shared" si="92"/>
        <v>-1.3557360082422365</v>
      </c>
      <c r="BH98" s="262" t="s">
        <v>9</v>
      </c>
      <c r="BI98" s="263"/>
    </row>
    <row r="99" spans="1:64" ht="11.7" customHeight="1">
      <c r="A99" s="82" t="s">
        <v>10</v>
      </c>
      <c r="B99" s="34">
        <v>2580.0782778864968</v>
      </c>
      <c r="C99" s="34">
        <v>2731.5506329113923</v>
      </c>
      <c r="D99" s="34">
        <v>3383.5387673956266</v>
      </c>
      <c r="E99" s="34">
        <v>4065.8048780487802</v>
      </c>
      <c r="F99" s="34">
        <v>4268.6754176610975</v>
      </c>
      <c r="G99" s="34">
        <v>4367.45</v>
      </c>
      <c r="H99" s="34">
        <v>4336.22</v>
      </c>
      <c r="I99" s="34">
        <v>4538.9799999999996</v>
      </c>
      <c r="J99" s="34">
        <v>5248.8</v>
      </c>
      <c r="K99" s="34">
        <v>4893.8599999999997</v>
      </c>
      <c r="L99" s="34">
        <v>4911.82</v>
      </c>
      <c r="M99" s="34">
        <v>5963.49</v>
      </c>
      <c r="N99" s="34">
        <v>7245.77</v>
      </c>
      <c r="O99" s="34">
        <v>8260.67</v>
      </c>
      <c r="P99" s="34">
        <v>9173.4699999999993</v>
      </c>
      <c r="Q99" s="34">
        <v>10849.84</v>
      </c>
      <c r="R99" s="105">
        <v>14106.7</v>
      </c>
      <c r="S99" s="34">
        <v>10425.14928</v>
      </c>
      <c r="T99" s="34">
        <v>14052.89</v>
      </c>
      <c r="U99" s="34">
        <v>17256.509999999998</v>
      </c>
      <c r="V99" s="34">
        <v>16919.68</v>
      </c>
      <c r="W99" s="35"/>
      <c r="X99" s="36">
        <f t="shared" si="89"/>
        <v>5.8708433896422774</v>
      </c>
      <c r="Y99" s="36">
        <f t="shared" si="89"/>
        <v>23.868791836720238</v>
      </c>
      <c r="Z99" s="36">
        <f t="shared" si="89"/>
        <v>20.164276444165186</v>
      </c>
      <c r="AA99" s="36">
        <f t="shared" si="89"/>
        <v>4.9896772151465596</v>
      </c>
      <c r="AB99" s="36">
        <f t="shared" si="89"/>
        <v>2.3139398683309276</v>
      </c>
      <c r="AC99" s="36">
        <f t="shared" si="89"/>
        <v>-0.71506256511235655</v>
      </c>
      <c r="AD99" s="37">
        <f t="shared" si="89"/>
        <v>4.6759620129974699</v>
      </c>
      <c r="AE99" s="37">
        <f t="shared" si="89"/>
        <v>15.638315216193966</v>
      </c>
      <c r="AF99" s="37">
        <f t="shared" si="89"/>
        <v>-6.762307575064785</v>
      </c>
      <c r="AG99" s="37">
        <f t="shared" si="89"/>
        <v>0.36699047377735106</v>
      </c>
      <c r="AH99" s="37">
        <f t="shared" si="89"/>
        <v>21.411004474919682</v>
      </c>
      <c r="AI99" s="37">
        <f t="shared" si="89"/>
        <v>21.502174062503677</v>
      </c>
      <c r="AJ99" s="37">
        <f t="shared" si="89"/>
        <v>14.006792928839861</v>
      </c>
      <c r="AK99" s="37">
        <f t="shared" si="90"/>
        <v>11.049951154083137</v>
      </c>
      <c r="AL99" s="37">
        <f t="shared" si="90"/>
        <v>18.274110015076083</v>
      </c>
      <c r="AN99" s="37">
        <f t="shared" si="96"/>
        <v>7.318334426194709</v>
      </c>
      <c r="AO99" s="37">
        <f t="shared" si="96"/>
        <v>7.4478019449314843</v>
      </c>
      <c r="AP99" s="37">
        <f t="shared" si="96"/>
        <v>7.167533125451202</v>
      </c>
      <c r="AQ99" s="37">
        <f t="shared" si="96"/>
        <v>7.6306141113740997</v>
      </c>
      <c r="AR99" s="37">
        <f t="shared" si="96"/>
        <v>7.4869523255245847</v>
      </c>
      <c r="AS99" s="37">
        <f t="shared" si="96"/>
        <v>7.957816901317984</v>
      </c>
      <c r="AT99" s="37">
        <f t="shared" si="96"/>
        <v>7.7637908813113148</v>
      </c>
      <c r="AU99" s="37">
        <f t="shared" si="96"/>
        <v>7.5387537443855761</v>
      </c>
      <c r="AV99" s="37">
        <f t="shared" si="96"/>
        <v>7.5078513292452671</v>
      </c>
      <c r="AW99" s="37">
        <f t="shared" si="96"/>
        <v>7.2066956647026528</v>
      </c>
      <c r="AX99" s="37">
        <f t="shared" si="96"/>
        <v>7.4506371814092951</v>
      </c>
      <c r="AY99" s="37">
        <f t="shared" si="96"/>
        <v>7.5083489770870999</v>
      </c>
      <c r="AZ99" s="37">
        <f t="shared" si="96"/>
        <v>7.4462270071317533</v>
      </c>
      <c r="BA99" s="79"/>
      <c r="BB99" s="37">
        <f t="shared" si="92"/>
        <v>30.017585512781753</v>
      </c>
      <c r="BC99" s="37">
        <f t="shared" si="92"/>
        <v>-26.097887670397757</v>
      </c>
      <c r="BD99" s="37">
        <f t="shared" si="92"/>
        <v>34.797973847334674</v>
      </c>
      <c r="BE99" s="37">
        <f t="shared" si="92"/>
        <v>22.796876656687704</v>
      </c>
      <c r="BF99" s="37">
        <f t="shared" si="92"/>
        <v>-1.9519010506759416</v>
      </c>
      <c r="BH99" s="262">
        <f t="shared" si="93"/>
        <v>17256.509999999998</v>
      </c>
      <c r="BI99" s="263">
        <f t="shared" si="95"/>
        <v>0.11237061985841953</v>
      </c>
      <c r="BJ99" s="264"/>
      <c r="BK99" s="264"/>
    </row>
    <row r="100" spans="1:64" ht="11.7" hidden="1" customHeight="1">
      <c r="A100" s="304" t="s">
        <v>11</v>
      </c>
      <c r="B100" s="252">
        <f t="shared" ref="B100:Q100" si="98">+B98+B99</f>
        <v>10224.139475080428</v>
      </c>
      <c r="C100" s="252">
        <f t="shared" si="98"/>
        <v>10914.840167580303</v>
      </c>
      <c r="D100" s="252">
        <f t="shared" si="98"/>
        <v>13502.949319226498</v>
      </c>
      <c r="E100" s="252">
        <f t="shared" si="98"/>
        <v>17245.34169174164</v>
      </c>
      <c r="F100" s="252">
        <f t="shared" si="98"/>
        <v>18387.662609440755</v>
      </c>
      <c r="G100" s="252">
        <f t="shared" si="98"/>
        <v>18418.7</v>
      </c>
      <c r="H100" s="252">
        <f t="shared" si="98"/>
        <v>17974.96</v>
      </c>
      <c r="I100" s="252">
        <f t="shared" si="98"/>
        <v>17611.79</v>
      </c>
      <c r="J100" s="252">
        <f t="shared" si="98"/>
        <v>21797.16</v>
      </c>
      <c r="K100" s="252">
        <f t="shared" si="98"/>
        <v>21409.13</v>
      </c>
      <c r="L100" s="252">
        <f t="shared" si="98"/>
        <v>20320.29</v>
      </c>
      <c r="M100" s="252">
        <f t="shared" si="98"/>
        <v>24752.309999999998</v>
      </c>
      <c r="N100" s="252">
        <f t="shared" si="98"/>
        <v>29638.19</v>
      </c>
      <c r="O100" s="252">
        <f t="shared" si="98"/>
        <v>33493.259999999995</v>
      </c>
      <c r="P100" s="252">
        <f t="shared" si="98"/>
        <v>38629.51</v>
      </c>
      <c r="Q100" s="252">
        <f t="shared" si="98"/>
        <v>45401.31</v>
      </c>
      <c r="R100" s="252">
        <f>+R98+R99</f>
        <v>56628.979999999996</v>
      </c>
      <c r="S100" s="252">
        <f>+S98+S99</f>
        <v>44144.091416999996</v>
      </c>
      <c r="T100" s="252">
        <f>+T98+T99</f>
        <v>58434.61</v>
      </c>
      <c r="U100" s="252">
        <f>+U98+U99</f>
        <v>72649.3</v>
      </c>
      <c r="V100" s="252">
        <f>+V98+V99</f>
        <v>71561.489999999991</v>
      </c>
      <c r="W100" s="39"/>
      <c r="X100" s="40">
        <f t="shared" si="89"/>
        <v>6.7555875404804233</v>
      </c>
      <c r="Y100" s="40">
        <f t="shared" si="89"/>
        <v>23.711837387536839</v>
      </c>
      <c r="Z100" s="40">
        <f t="shared" si="89"/>
        <v>27.71537005760991</v>
      </c>
      <c r="AA100" s="40">
        <f t="shared" si="89"/>
        <v>6.6239390214352323</v>
      </c>
      <c r="AB100" s="40">
        <f t="shared" si="89"/>
        <v>0.16879464899095531</v>
      </c>
      <c r="AC100" s="40">
        <f t="shared" si="89"/>
        <v>-2.4091819726690944</v>
      </c>
      <c r="AD100" s="253">
        <f t="shared" si="89"/>
        <v>-2.0204217422458703</v>
      </c>
      <c r="AE100" s="253">
        <f t="shared" si="89"/>
        <v>23.764591787660414</v>
      </c>
      <c r="AF100" s="253">
        <f t="shared" si="89"/>
        <v>-1.7801860425853633</v>
      </c>
      <c r="AG100" s="253">
        <f t="shared" si="89"/>
        <v>-5.0858675714519963</v>
      </c>
      <c r="AH100" s="253">
        <f t="shared" si="89"/>
        <v>21.810810770909249</v>
      </c>
      <c r="AI100" s="253">
        <f t="shared" si="89"/>
        <v>19.739086978144684</v>
      </c>
      <c r="AJ100" s="253">
        <f t="shared" si="89"/>
        <v>13.00710333525763</v>
      </c>
      <c r="AK100" s="253">
        <f t="shared" si="90"/>
        <v>15.335174897874992</v>
      </c>
      <c r="AL100" s="253">
        <f t="shared" si="90"/>
        <v>17.530121402005872</v>
      </c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79"/>
      <c r="BB100" s="253">
        <f t="shared" si="92"/>
        <v>24.729837090603766</v>
      </c>
      <c r="BC100" s="253">
        <f t="shared" si="92"/>
        <v>-22.04681875428447</v>
      </c>
      <c r="BD100" s="253">
        <f t="shared" si="92"/>
        <v>32.372437905691484</v>
      </c>
      <c r="BE100" s="253">
        <f t="shared" si="92"/>
        <v>24.325806230246094</v>
      </c>
      <c r="BF100" s="253">
        <f t="shared" si="92"/>
        <v>-1.4973440900325374</v>
      </c>
      <c r="BH100" s="262">
        <f t="shared" si="93"/>
        <v>72649.3</v>
      </c>
      <c r="BI100" s="263">
        <f t="shared" si="95"/>
        <v>0.47307635630149314</v>
      </c>
    </row>
    <row r="101" spans="1:64" ht="11.7" customHeight="1">
      <c r="A101" s="82" t="s">
        <v>12</v>
      </c>
      <c r="B101" s="34">
        <v>2391.0419114766942</v>
      </c>
      <c r="C101" s="34">
        <v>2831.4496216646753</v>
      </c>
      <c r="D101" s="34">
        <v>3608.2238152130626</v>
      </c>
      <c r="E101" s="34">
        <v>4880.4173486088375</v>
      </c>
      <c r="F101" s="34">
        <v>4984.1461477362991</v>
      </c>
      <c r="G101" s="34">
        <v>4907.5</v>
      </c>
      <c r="H101" s="34">
        <v>4320.21</v>
      </c>
      <c r="I101" s="34">
        <v>4674.41</v>
      </c>
      <c r="J101" s="34">
        <v>5303.15</v>
      </c>
      <c r="K101" s="34">
        <v>5751.45</v>
      </c>
      <c r="L101" s="34">
        <v>5935.49</v>
      </c>
      <c r="M101" s="34">
        <v>6748.71</v>
      </c>
      <c r="N101" s="34">
        <v>7966.29</v>
      </c>
      <c r="O101" s="34">
        <v>9150.1</v>
      </c>
      <c r="P101" s="34">
        <v>10795.88</v>
      </c>
      <c r="Q101" s="34">
        <v>12753.7</v>
      </c>
      <c r="R101" s="105">
        <v>15881.12</v>
      </c>
      <c r="S101" s="34">
        <v>11648.171917</v>
      </c>
      <c r="T101" s="34">
        <v>16554.64</v>
      </c>
      <c r="U101" s="34">
        <v>18998.689999999999</v>
      </c>
      <c r="V101" s="34">
        <v>20932.490000000002</v>
      </c>
      <c r="W101" s="39"/>
      <c r="X101" s="40">
        <f t="shared" si="89"/>
        <v>18.419071120170692</v>
      </c>
      <c r="Y101" s="40">
        <f t="shared" si="89"/>
        <v>27.433798843000545</v>
      </c>
      <c r="Z101" s="40">
        <f t="shared" si="89"/>
        <v>35.258165749916294</v>
      </c>
      <c r="AA101" s="40">
        <f t="shared" si="89"/>
        <v>2.1254083763354581</v>
      </c>
      <c r="AB101" s="40">
        <f t="shared" si="89"/>
        <v>-1.537798962237702</v>
      </c>
      <c r="AC101" s="40">
        <f t="shared" si="89"/>
        <v>-11.967193071828831</v>
      </c>
      <c r="AD101" s="253">
        <f t="shared" si="89"/>
        <v>8.1986755273470546</v>
      </c>
      <c r="AE101" s="253">
        <f t="shared" si="89"/>
        <v>13.450681476378822</v>
      </c>
      <c r="AF101" s="253">
        <f t="shared" si="89"/>
        <v>8.4534663360455564</v>
      </c>
      <c r="AG101" s="253">
        <f t="shared" si="89"/>
        <v>3.1998887237131513</v>
      </c>
      <c r="AH101" s="37">
        <f t="shared" si="89"/>
        <v>13.700974982688873</v>
      </c>
      <c r="AI101" s="37">
        <f t="shared" si="89"/>
        <v>18.04167018585774</v>
      </c>
      <c r="AJ101" s="37">
        <f t="shared" si="89"/>
        <v>14.860242346186237</v>
      </c>
      <c r="AK101" s="37">
        <f t="shared" si="90"/>
        <v>17.986470093223005</v>
      </c>
      <c r="AL101" s="37">
        <f t="shared" si="90"/>
        <v>18.134881084265487</v>
      </c>
      <c r="AN101" s="37">
        <f t="shared" ref="AN101:AZ101" si="99">+(C101/C$120)*100</f>
        <v>7.5859824791820918</v>
      </c>
      <c r="AO101" s="37">
        <f t="shared" si="99"/>
        <v>7.942375777587694</v>
      </c>
      <c r="AP101" s="37">
        <f t="shared" si="99"/>
        <v>8.6035985644663011</v>
      </c>
      <c r="AQ101" s="37">
        <f t="shared" si="99"/>
        <v>8.9095778448542937</v>
      </c>
      <c r="AR101" s="37">
        <f t="shared" si="99"/>
        <v>8.412739364506038</v>
      </c>
      <c r="AS101" s="37">
        <f t="shared" si="99"/>
        <v>7.9284354011657534</v>
      </c>
      <c r="AT101" s="37">
        <f t="shared" si="99"/>
        <v>7.9954398859458351</v>
      </c>
      <c r="AU101" s="37">
        <f t="shared" si="99"/>
        <v>7.616815637772131</v>
      </c>
      <c r="AV101" s="37">
        <f t="shared" si="99"/>
        <v>8.8235118143117486</v>
      </c>
      <c r="AW101" s="37">
        <f t="shared" si="99"/>
        <v>8.7086395777707555</v>
      </c>
      <c r="AX101" s="37">
        <f t="shared" si="99"/>
        <v>8.431671664167915</v>
      </c>
      <c r="AY101" s="37">
        <f t="shared" si="99"/>
        <v>8.2549798534426557</v>
      </c>
      <c r="AZ101" s="37">
        <f t="shared" si="99"/>
        <v>8.2479655691313489</v>
      </c>
      <c r="BA101" s="79"/>
      <c r="BB101" s="37">
        <f t="shared" si="92"/>
        <v>24.521668221770931</v>
      </c>
      <c r="BC101" s="37">
        <f t="shared" si="92"/>
        <v>-26.653964474797753</v>
      </c>
      <c r="BD101" s="37">
        <f t="shared" si="92"/>
        <v>42.122215554178275</v>
      </c>
      <c r="BE101" s="37">
        <f t="shared" si="92"/>
        <v>14.763534573992555</v>
      </c>
      <c r="BF101" s="37">
        <f t="shared" si="92"/>
        <v>10.178596524286698</v>
      </c>
      <c r="BH101" s="262">
        <f t="shared" si="93"/>
        <v>18998.689999999999</v>
      </c>
      <c r="BI101" s="263">
        <f t="shared" si="95"/>
        <v>0.12371531507807527</v>
      </c>
      <c r="BJ101" s="265"/>
      <c r="BK101" s="265"/>
    </row>
    <row r="102" spans="1:64" ht="11.7" hidden="1" customHeight="1">
      <c r="A102" s="304" t="s">
        <v>13</v>
      </c>
      <c r="B102" s="252">
        <f t="shared" ref="B102:Q102" si="100">+B98+B99+B101</f>
        <v>12615.181386557122</v>
      </c>
      <c r="C102" s="252">
        <f t="shared" si="100"/>
        <v>13746.289789244978</v>
      </c>
      <c r="D102" s="252">
        <f t="shared" si="100"/>
        <v>17111.173134439559</v>
      </c>
      <c r="E102" s="252">
        <f t="shared" si="100"/>
        <v>22125.759040350476</v>
      </c>
      <c r="F102" s="252">
        <f t="shared" si="100"/>
        <v>23371.808757177052</v>
      </c>
      <c r="G102" s="252">
        <f t="shared" si="100"/>
        <v>23326.2</v>
      </c>
      <c r="H102" s="252">
        <f t="shared" si="100"/>
        <v>22295.17</v>
      </c>
      <c r="I102" s="252">
        <f t="shared" si="100"/>
        <v>22286.2</v>
      </c>
      <c r="J102" s="252">
        <f t="shared" si="100"/>
        <v>27100.309999999998</v>
      </c>
      <c r="K102" s="252">
        <f t="shared" si="100"/>
        <v>27160.58</v>
      </c>
      <c r="L102" s="252">
        <f t="shared" si="100"/>
        <v>26255.78</v>
      </c>
      <c r="M102" s="252">
        <f t="shared" si="100"/>
        <v>31501.019999999997</v>
      </c>
      <c r="N102" s="252">
        <f t="shared" si="100"/>
        <v>37604.479999999996</v>
      </c>
      <c r="O102" s="252">
        <f t="shared" si="100"/>
        <v>42643.359999999993</v>
      </c>
      <c r="P102" s="252">
        <f t="shared" si="100"/>
        <v>49425.39</v>
      </c>
      <c r="Q102" s="252">
        <f t="shared" si="100"/>
        <v>58155.009999999995</v>
      </c>
      <c r="R102" s="252">
        <f>+R98+R99+R101</f>
        <v>72510.099999999991</v>
      </c>
      <c r="S102" s="252">
        <f>+S98+S99+S101</f>
        <v>55792.263333999996</v>
      </c>
      <c r="T102" s="252">
        <f>+T98+T99+T101</f>
        <v>74989.25</v>
      </c>
      <c r="U102" s="252">
        <f>+U98+U99+U101</f>
        <v>91647.99</v>
      </c>
      <c r="V102" s="252">
        <f>+V98+V99+V101</f>
        <v>92493.98</v>
      </c>
      <c r="W102" s="39"/>
      <c r="X102" s="40">
        <f t="shared" si="89"/>
        <v>8.9662476347203146</v>
      </c>
      <c r="Y102" s="40">
        <f t="shared" si="89"/>
        <v>24.478483989383438</v>
      </c>
      <c r="Z102" s="40">
        <f t="shared" si="89"/>
        <v>29.305915301728149</v>
      </c>
      <c r="AA102" s="40">
        <f t="shared" si="89"/>
        <v>5.6316699217150878</v>
      </c>
      <c r="AB102" s="40">
        <f t="shared" si="89"/>
        <v>-0.19514431959848366</v>
      </c>
      <c r="AC102" s="40">
        <f t="shared" si="89"/>
        <v>-4.4200512728177044</v>
      </c>
      <c r="AD102" s="253">
        <f t="shared" si="89"/>
        <v>-4.0232929374373061E-2</v>
      </c>
      <c r="AE102" s="253">
        <f t="shared" si="89"/>
        <v>21.601304843355962</v>
      </c>
      <c r="AF102" s="253">
        <f t="shared" si="89"/>
        <v>0.22239597997220084</v>
      </c>
      <c r="AG102" s="253">
        <f t="shared" si="89"/>
        <v>-3.3312985216074287</v>
      </c>
      <c r="AH102" s="253">
        <f t="shared" si="89"/>
        <v>19.977467818514615</v>
      </c>
      <c r="AI102" s="253">
        <f t="shared" si="89"/>
        <v>19.375436096989883</v>
      </c>
      <c r="AJ102" s="253">
        <f t="shared" si="89"/>
        <v>13.399680038123108</v>
      </c>
      <c r="AK102" s="253">
        <f t="shared" si="90"/>
        <v>15.904070410962001</v>
      </c>
      <c r="AL102" s="253">
        <f t="shared" si="90"/>
        <v>17.662217738696651</v>
      </c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79"/>
      <c r="BB102" s="253">
        <f t="shared" si="92"/>
        <v>24.684184561226964</v>
      </c>
      <c r="BC102" s="253">
        <f t="shared" si="92"/>
        <v>-23.055873134914997</v>
      </c>
      <c r="BD102" s="253">
        <f t="shared" si="92"/>
        <v>34.40797257332504</v>
      </c>
      <c r="BE102" s="253">
        <f t="shared" si="92"/>
        <v>22.214837460035941</v>
      </c>
      <c r="BF102" s="37">
        <f t="shared" si="92"/>
        <v>0.92308625644708098</v>
      </c>
      <c r="BH102" s="262">
        <f t="shared" si="93"/>
        <v>91647.99</v>
      </c>
      <c r="BI102" s="263">
        <f t="shared" si="95"/>
        <v>0.59679167137956846</v>
      </c>
    </row>
    <row r="103" spans="1:64" ht="11.7" customHeight="1">
      <c r="A103" s="82" t="s">
        <v>14</v>
      </c>
      <c r="B103" s="34">
        <v>2894.7617172115006</v>
      </c>
      <c r="C103" s="34">
        <v>3088.9796731765646</v>
      </c>
      <c r="D103" s="34">
        <v>3848.2755874153722</v>
      </c>
      <c r="E103" s="34">
        <v>5025.3657539844708</v>
      </c>
      <c r="F103" s="34">
        <v>4412.6049089469516</v>
      </c>
      <c r="G103" s="34">
        <v>4763.72</v>
      </c>
      <c r="H103" s="34">
        <v>4622.34</v>
      </c>
      <c r="I103" s="34">
        <v>4810.3999999999996</v>
      </c>
      <c r="J103" s="34">
        <v>5574.4</v>
      </c>
      <c r="K103" s="34">
        <v>5559.22</v>
      </c>
      <c r="L103" s="34">
        <v>5834.09</v>
      </c>
      <c r="M103" s="34">
        <v>6587.95</v>
      </c>
      <c r="N103" s="34">
        <v>8291.48</v>
      </c>
      <c r="O103" s="34">
        <v>9284.93</v>
      </c>
      <c r="P103" s="34">
        <v>10916.68</v>
      </c>
      <c r="Q103" s="34">
        <v>12791.49</v>
      </c>
      <c r="R103" s="105">
        <v>16651</v>
      </c>
      <c r="S103" s="34">
        <v>12330.989761000001</v>
      </c>
      <c r="T103" s="34">
        <v>18038.25</v>
      </c>
      <c r="U103" s="34">
        <v>20237.810000000001</v>
      </c>
      <c r="V103" s="266">
        <v>19770.650000000001</v>
      </c>
      <c r="W103" s="35"/>
      <c r="X103" s="36">
        <f t="shared" si="89"/>
        <v>6.7092899153078589</v>
      </c>
      <c r="Y103" s="36">
        <f t="shared" si="89"/>
        <v>24.580799959035748</v>
      </c>
      <c r="Z103" s="36">
        <f t="shared" si="89"/>
        <v>30.587470669159387</v>
      </c>
      <c r="AA103" s="36">
        <f t="shared" si="89"/>
        <v>-12.193358156103928</v>
      </c>
      <c r="AB103" s="36">
        <f t="shared" si="89"/>
        <v>7.9570933337161254</v>
      </c>
      <c r="AC103" s="36">
        <f t="shared" si="89"/>
        <v>-2.9678486560922979</v>
      </c>
      <c r="AD103" s="37">
        <f t="shared" si="89"/>
        <v>4.0685021006676259</v>
      </c>
      <c r="AE103" s="37">
        <f t="shared" si="89"/>
        <v>15.882255113919852</v>
      </c>
      <c r="AF103" s="37">
        <f t="shared" si="89"/>
        <v>-0.2723163030998732</v>
      </c>
      <c r="AG103" s="37">
        <f t="shared" si="89"/>
        <v>4.9443986746342095</v>
      </c>
      <c r="AH103" s="37">
        <f t="shared" si="89"/>
        <v>12.921638164649485</v>
      </c>
      <c r="AI103" s="37">
        <f t="shared" si="89"/>
        <v>25.858271541222976</v>
      </c>
      <c r="AJ103" s="37">
        <f t="shared" si="89"/>
        <v>11.981576268651683</v>
      </c>
      <c r="AK103" s="37">
        <f t="shared" si="90"/>
        <v>17.574176649689342</v>
      </c>
      <c r="AL103" s="37">
        <f t="shared" si="90"/>
        <v>17.173811085421576</v>
      </c>
      <c r="AN103" s="37">
        <f t="shared" ref="AN103:AZ106" si="101">+(C103/C$120)*100</f>
        <v>8.2759535963384963</v>
      </c>
      <c r="AO103" s="37">
        <f t="shared" si="101"/>
        <v>8.4707746459916056</v>
      </c>
      <c r="AP103" s="37">
        <f t="shared" si="101"/>
        <v>8.8591254596747522</v>
      </c>
      <c r="AQ103" s="37">
        <f t="shared" si="101"/>
        <v>7.887900107565045</v>
      </c>
      <c r="AR103" s="37">
        <f t="shared" si="101"/>
        <v>8.1662628151777295</v>
      </c>
      <c r="AS103" s="37">
        <f t="shared" si="101"/>
        <v>8.4829033987293467</v>
      </c>
      <c r="AT103" s="37">
        <f t="shared" si="101"/>
        <v>8.2280467539975817</v>
      </c>
      <c r="AU103" s="37">
        <f t="shared" si="101"/>
        <v>8.0064069640113846</v>
      </c>
      <c r="AV103" s="37">
        <f t="shared" si="101"/>
        <v>8.5286046733185827</v>
      </c>
      <c r="AW103" s="37">
        <f t="shared" si="101"/>
        <v>8.5598639833066166</v>
      </c>
      <c r="AX103" s="37">
        <f t="shared" si="101"/>
        <v>8.2308220889555219</v>
      </c>
      <c r="AY103" s="37">
        <f t="shared" si="101"/>
        <v>8.5919543922230677</v>
      </c>
      <c r="AZ103" s="37">
        <f t="shared" si="101"/>
        <v>8.369502295253028</v>
      </c>
      <c r="BA103" s="79"/>
      <c r="BB103" s="37">
        <f t="shared" si="92"/>
        <v>30.172481860987265</v>
      </c>
      <c r="BC103" s="37">
        <f t="shared" si="92"/>
        <v>-25.944449216263287</v>
      </c>
      <c r="BD103" s="37">
        <f t="shared" si="92"/>
        <v>46.283877852617408</v>
      </c>
      <c r="BE103" s="37">
        <f t="shared" si="92"/>
        <v>12.193865812925321</v>
      </c>
      <c r="BF103" s="37">
        <f t="shared" si="92"/>
        <v>-2.3083525341921818</v>
      </c>
      <c r="BH103" s="262">
        <f t="shared" si="93"/>
        <v>20237.810000000001</v>
      </c>
      <c r="BI103" s="263">
        <f t="shared" si="95"/>
        <v>0.1317841935754635</v>
      </c>
    </row>
    <row r="104" spans="1:64" ht="11.7" customHeight="1">
      <c r="A104" s="84" t="s">
        <v>15</v>
      </c>
      <c r="B104" s="38">
        <f t="shared" ref="B104:V104" si="102">+B99+B101+B103</f>
        <v>7865.881906574692</v>
      </c>
      <c r="C104" s="38">
        <f t="shared" si="102"/>
        <v>8651.9799277526326</v>
      </c>
      <c r="D104" s="38">
        <f t="shared" si="102"/>
        <v>10840.038170024061</v>
      </c>
      <c r="E104" s="38">
        <f t="shared" si="102"/>
        <v>13971.587980642089</v>
      </c>
      <c r="F104" s="38">
        <f t="shared" si="102"/>
        <v>13665.426474344349</v>
      </c>
      <c r="G104" s="38">
        <f t="shared" si="102"/>
        <v>14038.670000000002</v>
      </c>
      <c r="H104" s="38">
        <f t="shared" si="102"/>
        <v>13278.77</v>
      </c>
      <c r="I104" s="38">
        <f t="shared" si="102"/>
        <v>14023.789999999999</v>
      </c>
      <c r="J104" s="38">
        <f t="shared" si="102"/>
        <v>16126.35</v>
      </c>
      <c r="K104" s="38">
        <f t="shared" si="102"/>
        <v>16204.529999999999</v>
      </c>
      <c r="L104" s="38">
        <f t="shared" si="102"/>
        <v>16681.400000000001</v>
      </c>
      <c r="M104" s="38">
        <f t="shared" si="102"/>
        <v>19300.150000000001</v>
      </c>
      <c r="N104" s="38">
        <f t="shared" si="102"/>
        <v>23503.54</v>
      </c>
      <c r="O104" s="38">
        <f t="shared" si="102"/>
        <v>26695.7</v>
      </c>
      <c r="P104" s="38">
        <f t="shared" si="102"/>
        <v>30886.03</v>
      </c>
      <c r="Q104" s="38">
        <f t="shared" si="102"/>
        <v>36395.03</v>
      </c>
      <c r="R104" s="38">
        <f t="shared" si="102"/>
        <v>46638.82</v>
      </c>
      <c r="S104" s="38">
        <f t="shared" si="102"/>
        <v>34404.310958000002</v>
      </c>
      <c r="T104" s="252">
        <f t="shared" si="102"/>
        <v>48645.78</v>
      </c>
      <c r="U104" s="252">
        <f t="shared" si="102"/>
        <v>56493.009999999995</v>
      </c>
      <c r="V104" s="252">
        <f t="shared" si="102"/>
        <v>57622.82</v>
      </c>
      <c r="W104" s="39"/>
      <c r="X104" s="40">
        <f t="shared" si="89"/>
        <v>9.993768410391235</v>
      </c>
      <c r="Y104" s="40">
        <f t="shared" si="89"/>
        <v>25.289682367996203</v>
      </c>
      <c r="Z104" s="40">
        <f t="shared" si="89"/>
        <v>28.888734167723662</v>
      </c>
      <c r="AA104" s="40">
        <f t="shared" si="89"/>
        <v>-2.1913150224722622</v>
      </c>
      <c r="AB104" s="40">
        <f t="shared" si="89"/>
        <v>2.731298041494612</v>
      </c>
      <c r="AC104" s="40">
        <f t="shared" si="89"/>
        <v>-5.4129059234243826</v>
      </c>
      <c r="AD104" s="253">
        <f t="shared" si="89"/>
        <v>5.6106100188496377</v>
      </c>
      <c r="AE104" s="253">
        <f t="shared" si="89"/>
        <v>14.992808648731915</v>
      </c>
      <c r="AF104" s="253">
        <f t="shared" si="89"/>
        <v>0.48479662167817406</v>
      </c>
      <c r="AG104" s="253">
        <f t="shared" si="89"/>
        <v>2.9428190759003936</v>
      </c>
      <c r="AH104" s="253">
        <f t="shared" si="89"/>
        <v>15.698622417782682</v>
      </c>
      <c r="AI104" s="253">
        <f t="shared" si="89"/>
        <v>21.779053530672044</v>
      </c>
      <c r="AJ104" s="253">
        <f t="shared" si="89"/>
        <v>13.581613663303482</v>
      </c>
      <c r="AK104" s="253">
        <f t="shared" si="90"/>
        <v>15.696647774735251</v>
      </c>
      <c r="AL104" s="253">
        <f t="shared" si="90"/>
        <v>17.836542928955268</v>
      </c>
      <c r="AN104" s="37">
        <f t="shared" si="101"/>
        <v>23.180270501715299</v>
      </c>
      <c r="AO104" s="37">
        <f t="shared" si="101"/>
        <v>23.860952368510784</v>
      </c>
      <c r="AP104" s="37">
        <f t="shared" si="101"/>
        <v>24.630257149592257</v>
      </c>
      <c r="AQ104" s="37">
        <f t="shared" si="101"/>
        <v>24.428092063793439</v>
      </c>
      <c r="AR104" s="37">
        <f t="shared" si="101"/>
        <v>24.06595450520836</v>
      </c>
      <c r="AS104" s="37">
        <f t="shared" si="101"/>
        <v>24.369155701213085</v>
      </c>
      <c r="AT104" s="37">
        <f t="shared" si="101"/>
        <v>23.987277521254732</v>
      </c>
      <c r="AU104" s="37">
        <f t="shared" si="101"/>
        <v>23.161976346169091</v>
      </c>
      <c r="AV104" s="37">
        <f t="shared" si="101"/>
        <v>24.859967816875596</v>
      </c>
      <c r="AW104" s="37">
        <f t="shared" si="101"/>
        <v>24.475199225780024</v>
      </c>
      <c r="AX104" s="37">
        <f t="shared" si="101"/>
        <v>24.113130934532737</v>
      </c>
      <c r="AY104" s="37">
        <f t="shared" si="101"/>
        <v>24.355283222752824</v>
      </c>
      <c r="AZ104" s="37">
        <f t="shared" si="101"/>
        <v>24.06369487151613</v>
      </c>
      <c r="BA104" s="79"/>
      <c r="BB104" s="253">
        <f t="shared" si="92"/>
        <v>28.146123248146804</v>
      </c>
      <c r="BC104" s="253">
        <f t="shared" si="92"/>
        <v>-26.232458372660371</v>
      </c>
      <c r="BD104" s="253">
        <f t="shared" si="92"/>
        <v>41.394431818110398</v>
      </c>
      <c r="BE104" s="253">
        <f t="shared" si="92"/>
        <v>16.131368435247605</v>
      </c>
      <c r="BF104" s="253">
        <f t="shared" si="92"/>
        <v>1.999911139448951</v>
      </c>
      <c r="BH104" s="262" t="s">
        <v>9</v>
      </c>
      <c r="BI104" s="263"/>
    </row>
    <row r="105" spans="1:64" ht="11.7" customHeight="1">
      <c r="A105" s="84" t="s">
        <v>16</v>
      </c>
      <c r="B105" s="38">
        <f t="shared" ref="B105:J105" si="103">+B98+B99+B101+B103</f>
        <v>15509.943103768623</v>
      </c>
      <c r="C105" s="38">
        <f t="shared" si="103"/>
        <v>16835.269462421544</v>
      </c>
      <c r="D105" s="38">
        <f t="shared" si="103"/>
        <v>20959.448721854933</v>
      </c>
      <c r="E105" s="38">
        <f t="shared" si="103"/>
        <v>27151.124794334948</v>
      </c>
      <c r="F105" s="38">
        <f t="shared" si="103"/>
        <v>27784.413666124005</v>
      </c>
      <c r="G105" s="38">
        <f t="shared" si="103"/>
        <v>28089.920000000002</v>
      </c>
      <c r="H105" s="38">
        <f t="shared" si="103"/>
        <v>26917.51</v>
      </c>
      <c r="I105" s="38">
        <f t="shared" si="103"/>
        <v>27096.6</v>
      </c>
      <c r="J105" s="38">
        <f t="shared" si="103"/>
        <v>32674.71</v>
      </c>
      <c r="K105" s="38">
        <f t="shared" ref="K105:Q105" si="104">+K104+K98</f>
        <v>32719.8</v>
      </c>
      <c r="L105" s="38">
        <f t="shared" si="104"/>
        <v>32089.870000000003</v>
      </c>
      <c r="M105" s="38">
        <f t="shared" si="104"/>
        <v>38088.97</v>
      </c>
      <c r="N105" s="38">
        <f t="shared" si="104"/>
        <v>45895.96</v>
      </c>
      <c r="O105" s="38">
        <f t="shared" si="104"/>
        <v>51928.289999999994</v>
      </c>
      <c r="P105" s="38">
        <f t="shared" si="104"/>
        <v>60342.07</v>
      </c>
      <c r="Q105" s="38">
        <f t="shared" si="104"/>
        <v>70946.5</v>
      </c>
      <c r="R105" s="38">
        <f>+R104+R98</f>
        <v>89161.1</v>
      </c>
      <c r="S105" s="38">
        <f>+S98+S99+S101+S103</f>
        <v>68123.253094999993</v>
      </c>
      <c r="T105" s="252">
        <f>+T98+T99+T101+T103</f>
        <v>93027.5</v>
      </c>
      <c r="U105" s="252">
        <f>+U98+U99+U101+U103</f>
        <v>111885.8</v>
      </c>
      <c r="V105" s="252">
        <f>+V98+V99+V101+V103</f>
        <v>112264.63</v>
      </c>
      <c r="W105" s="39"/>
      <c r="X105" s="40">
        <f t="shared" si="89"/>
        <v>8.545011092470677</v>
      </c>
      <c r="Y105" s="40">
        <f t="shared" si="89"/>
        <v>24.497257193530999</v>
      </c>
      <c r="Z105" s="40">
        <f t="shared" si="89"/>
        <v>29.541216253573509</v>
      </c>
      <c r="AA105" s="40">
        <f t="shared" si="89"/>
        <v>2.3324590660096289</v>
      </c>
      <c r="AB105" s="40">
        <f t="shared" si="89"/>
        <v>1.0995601258574794</v>
      </c>
      <c r="AC105" s="40">
        <f t="shared" si="89"/>
        <v>-4.1737747918114465</v>
      </c>
      <c r="AD105" s="253">
        <f t="shared" si="89"/>
        <v>0.66532899959914626</v>
      </c>
      <c r="AE105" s="253">
        <f t="shared" si="89"/>
        <v>20.586014481521666</v>
      </c>
      <c r="AF105" s="253">
        <f t="shared" si="89"/>
        <v>0.13799663409408414</v>
      </c>
      <c r="AG105" s="253">
        <f t="shared" si="89"/>
        <v>-1.9252257043135823</v>
      </c>
      <c r="AH105" s="253">
        <f t="shared" si="89"/>
        <v>18.694684646587834</v>
      </c>
      <c r="AI105" s="253">
        <f t="shared" si="89"/>
        <v>20.496721229269266</v>
      </c>
      <c r="AJ105" s="253">
        <f t="shared" si="89"/>
        <v>13.143488010709437</v>
      </c>
      <c r="AK105" s="253">
        <f t="shared" si="90"/>
        <v>16.202690286932242</v>
      </c>
      <c r="AL105" s="253">
        <f t="shared" si="90"/>
        <v>17.573858503694019</v>
      </c>
      <c r="AN105" s="37">
        <f t="shared" si="101"/>
        <v>45.104831884366796</v>
      </c>
      <c r="AO105" s="37">
        <f t="shared" si="101"/>
        <v>46.135668507642784</v>
      </c>
      <c r="AP105" s="37">
        <f t="shared" si="101"/>
        <v>47.864221770044409</v>
      </c>
      <c r="AQ105" s="37">
        <f t="shared" si="101"/>
        <v>49.666961821413771</v>
      </c>
      <c r="AR105" s="37">
        <f t="shared" si="101"/>
        <v>48.153474422786651</v>
      </c>
      <c r="AS105" s="37">
        <f t="shared" si="101"/>
        <v>49.398927180677141</v>
      </c>
      <c r="AT105" s="37">
        <f t="shared" si="101"/>
        <v>46.347931913015742</v>
      </c>
      <c r="AU105" s="37">
        <f t="shared" si="101"/>
        <v>46.930077800490174</v>
      </c>
      <c r="AV105" s="37">
        <f t="shared" si="101"/>
        <v>50.196653341664721</v>
      </c>
      <c r="AW105" s="37">
        <f t="shared" si="101"/>
        <v>47.082736543658307</v>
      </c>
      <c r="AX105" s="37">
        <f t="shared" si="101"/>
        <v>47.587418790604694</v>
      </c>
      <c r="AY105" s="37">
        <f t="shared" si="101"/>
        <v>47.559180641730336</v>
      </c>
      <c r="AZ105" s="37">
        <f t="shared" si="101"/>
        <v>46.808531926849724</v>
      </c>
      <c r="BA105" s="79"/>
      <c r="BB105" s="253">
        <f t="shared" si="92"/>
        <v>25.67371188148817</v>
      </c>
      <c r="BC105" s="253">
        <f t="shared" si="92"/>
        <v>-23.595320049887235</v>
      </c>
      <c r="BD105" s="253">
        <f t="shared" si="92"/>
        <v>36.557630138816563</v>
      </c>
      <c r="BE105" s="253">
        <f t="shared" si="92"/>
        <v>20.271747601515688</v>
      </c>
      <c r="BF105" s="253">
        <f t="shared" si="92"/>
        <v>0.33858630853960126</v>
      </c>
      <c r="BH105" s="262" t="s">
        <v>9</v>
      </c>
      <c r="BI105" s="263"/>
    </row>
    <row r="106" spans="1:64" ht="11.7" customHeight="1">
      <c r="A106" s="82" t="s">
        <v>17</v>
      </c>
      <c r="B106" s="34">
        <v>2878.1435938119794</v>
      </c>
      <c r="C106" s="34">
        <v>3346.1400716275371</v>
      </c>
      <c r="D106" s="34">
        <v>3745.7801845166468</v>
      </c>
      <c r="E106" s="34">
        <v>4664.1092539747251</v>
      </c>
      <c r="F106" s="34">
        <v>4517.0555555555557</v>
      </c>
      <c r="G106" s="34">
        <v>4881.54</v>
      </c>
      <c r="H106" s="34">
        <v>4686.3</v>
      </c>
      <c r="I106" s="34">
        <v>5056.12</v>
      </c>
      <c r="J106" s="34">
        <v>6135.21</v>
      </c>
      <c r="K106" s="34">
        <v>5320.2</v>
      </c>
      <c r="L106" s="34">
        <v>5570.72</v>
      </c>
      <c r="M106" s="34">
        <v>6491.75</v>
      </c>
      <c r="N106" s="34">
        <v>8063.74</v>
      </c>
      <c r="O106" s="34">
        <v>9555.07</v>
      </c>
      <c r="P106" s="34">
        <v>11112.45</v>
      </c>
      <c r="Q106" s="34">
        <v>11974.89</v>
      </c>
      <c r="R106" s="105">
        <v>17369.63</v>
      </c>
      <c r="S106" s="34">
        <v>12905.142524000001</v>
      </c>
      <c r="T106" s="34">
        <v>15563.98</v>
      </c>
      <c r="U106" s="34">
        <v>20456.96</v>
      </c>
      <c r="V106" s="34">
        <v>19544.400000000001</v>
      </c>
      <c r="W106" s="41"/>
      <c r="X106" s="36">
        <f t="shared" si="89"/>
        <v>16.260358893202962</v>
      </c>
      <c r="Y106" s="36">
        <f t="shared" si="89"/>
        <v>11.943316906477497</v>
      </c>
      <c r="Z106" s="36">
        <f t="shared" si="89"/>
        <v>24.516363059798163</v>
      </c>
      <c r="AA106" s="36">
        <f t="shared" si="89"/>
        <v>-3.1528785114510627</v>
      </c>
      <c r="AB106" s="36">
        <f t="shared" si="89"/>
        <v>8.0690715436555251</v>
      </c>
      <c r="AC106" s="36">
        <f t="shared" si="89"/>
        <v>-3.9995575166853037</v>
      </c>
      <c r="AD106" s="37">
        <f t="shared" si="89"/>
        <v>7.8915135608048859</v>
      </c>
      <c r="AE106" s="37">
        <f t="shared" si="89"/>
        <v>21.342254535098061</v>
      </c>
      <c r="AF106" s="37">
        <f t="shared" si="89"/>
        <v>-13.284141863114717</v>
      </c>
      <c r="AG106" s="37">
        <f t="shared" si="89"/>
        <v>4.7088455321228517</v>
      </c>
      <c r="AH106" s="37">
        <f t="shared" si="89"/>
        <v>16.533410402964055</v>
      </c>
      <c r="AI106" s="37">
        <f t="shared" si="89"/>
        <v>24.215196210574952</v>
      </c>
      <c r="AJ106" s="37">
        <f t="shared" si="89"/>
        <v>18.494271888726566</v>
      </c>
      <c r="AK106" s="37">
        <f t="shared" si="90"/>
        <v>16.298991006868626</v>
      </c>
      <c r="AL106" s="37">
        <f t="shared" si="90"/>
        <v>7.7610247965120172</v>
      </c>
      <c r="AN106" s="37">
        <f t="shared" si="101"/>
        <v>8.9649343438898637</v>
      </c>
      <c r="AO106" s="37">
        <f t="shared" si="101"/>
        <v>8.2451630855710221</v>
      </c>
      <c r="AP106" s="37">
        <f t="shared" si="101"/>
        <v>8.2222729770128069</v>
      </c>
      <c r="AQ106" s="37">
        <f t="shared" si="101"/>
        <v>8.0746143690092822</v>
      </c>
      <c r="AR106" s="37">
        <f t="shared" si="101"/>
        <v>8.3682371303944603</v>
      </c>
      <c r="AS106" s="37">
        <f t="shared" si="101"/>
        <v>8.6002825835973429</v>
      </c>
      <c r="AT106" s="37">
        <f t="shared" si="101"/>
        <v>8.6483435377145899</v>
      </c>
      <c r="AU106" s="37">
        <f t="shared" si="101"/>
        <v>8.8118879286869056</v>
      </c>
      <c r="AV106" s="37">
        <f t="shared" si="101"/>
        <v>8.161915265628906</v>
      </c>
      <c r="AW106" s="37">
        <f t="shared" si="101"/>
        <v>8.1734435857324517</v>
      </c>
      <c r="AX106" s="37">
        <f t="shared" si="101"/>
        <v>8.1106321839080451</v>
      </c>
      <c r="AY106" s="37">
        <f t="shared" si="101"/>
        <v>8.3559613375108963</v>
      </c>
      <c r="AZ106" s="37">
        <f t="shared" si="101"/>
        <v>8.6130084229286972</v>
      </c>
      <c r="BA106" s="79"/>
      <c r="BB106" s="37">
        <f t="shared" si="92"/>
        <v>45.050434701279116</v>
      </c>
      <c r="BC106" s="37">
        <f t="shared" si="92"/>
        <v>-25.70283578867253</v>
      </c>
      <c r="BD106" s="37">
        <f t="shared" si="92"/>
        <v>20.602929964200676</v>
      </c>
      <c r="BE106" s="37">
        <f t="shared" si="92"/>
        <v>31.437845589624235</v>
      </c>
      <c r="BF106" s="37">
        <f t="shared" si="92"/>
        <v>-4.4608778625954137</v>
      </c>
      <c r="BH106" s="262">
        <f t="shared" si="93"/>
        <v>20456.96</v>
      </c>
      <c r="BI106" s="263">
        <f t="shared" ref="BI106:BI110" si="105">+BH106/BH$120</f>
        <v>0.13321125045672005</v>
      </c>
      <c r="BJ106" s="269" t="s">
        <v>18</v>
      </c>
      <c r="BK106" s="269" t="s">
        <v>18</v>
      </c>
      <c r="BL106" s="269" t="s">
        <v>18</v>
      </c>
    </row>
    <row r="107" spans="1:64" ht="11.7" hidden="1" customHeight="1">
      <c r="A107" s="305" t="s">
        <v>19</v>
      </c>
      <c r="B107" s="252">
        <f t="shared" ref="B107:U107" si="106">+B105+B106</f>
        <v>18388.086697580602</v>
      </c>
      <c r="C107" s="252">
        <f t="shared" si="106"/>
        <v>20181.409534049082</v>
      </c>
      <c r="D107" s="252">
        <f t="shared" si="106"/>
        <v>24705.22890637158</v>
      </c>
      <c r="E107" s="252">
        <f t="shared" si="106"/>
        <v>31815.234048309674</v>
      </c>
      <c r="F107" s="252">
        <f t="shared" si="106"/>
        <v>32301.469221679559</v>
      </c>
      <c r="G107" s="252">
        <f t="shared" si="106"/>
        <v>32971.46</v>
      </c>
      <c r="H107" s="252">
        <f t="shared" si="106"/>
        <v>31603.809999999998</v>
      </c>
      <c r="I107" s="252">
        <f t="shared" si="106"/>
        <v>32152.719999999998</v>
      </c>
      <c r="J107" s="252">
        <f t="shared" si="106"/>
        <v>38809.919999999998</v>
      </c>
      <c r="K107" s="252">
        <f t="shared" si="106"/>
        <v>38040</v>
      </c>
      <c r="L107" s="252">
        <f t="shared" si="106"/>
        <v>37660.590000000004</v>
      </c>
      <c r="M107" s="252">
        <f t="shared" si="106"/>
        <v>44580.72</v>
      </c>
      <c r="N107" s="252">
        <f t="shared" si="106"/>
        <v>53959.7</v>
      </c>
      <c r="O107" s="252">
        <f t="shared" si="106"/>
        <v>61483.359999999993</v>
      </c>
      <c r="P107" s="252">
        <f t="shared" si="106"/>
        <v>71454.52</v>
      </c>
      <c r="Q107" s="252">
        <f t="shared" si="106"/>
        <v>82921.39</v>
      </c>
      <c r="R107" s="252">
        <f t="shared" si="106"/>
        <v>106530.73000000001</v>
      </c>
      <c r="S107" s="252">
        <f t="shared" si="106"/>
        <v>81028.395618999988</v>
      </c>
      <c r="T107" s="252">
        <f t="shared" si="106"/>
        <v>108591.48</v>
      </c>
      <c r="U107" s="252">
        <f t="shared" si="106"/>
        <v>132342.76</v>
      </c>
      <c r="V107" s="252">
        <f>+V105+V106</f>
        <v>131809.03</v>
      </c>
      <c r="W107" s="39"/>
      <c r="X107" s="40">
        <f t="shared" si="89"/>
        <v>9.7526342243341446</v>
      </c>
      <c r="Y107" s="40">
        <f t="shared" si="89"/>
        <v>22.415775095838232</v>
      </c>
      <c r="Z107" s="40">
        <f t="shared" si="89"/>
        <v>28.779353427097341</v>
      </c>
      <c r="AA107" s="40">
        <f t="shared" si="89"/>
        <v>1.5283092767180761</v>
      </c>
      <c r="AB107" s="40">
        <f t="shared" si="89"/>
        <v>2.0741805077732156</v>
      </c>
      <c r="AC107" s="40">
        <f t="shared" si="89"/>
        <v>-4.1479813147491829</v>
      </c>
      <c r="AD107" s="253">
        <f t="shared" si="89"/>
        <v>1.7368475509756509</v>
      </c>
      <c r="AE107" s="253">
        <f t="shared" si="89"/>
        <v>20.704935694398486</v>
      </c>
      <c r="AF107" s="253">
        <f t="shared" si="89"/>
        <v>-1.983822692754833</v>
      </c>
      <c r="AG107" s="253">
        <f t="shared" si="89"/>
        <v>-0.99739747634068898</v>
      </c>
      <c r="AH107" s="253">
        <f t="shared" si="89"/>
        <v>18.374990938803659</v>
      </c>
      <c r="AI107" s="253">
        <f t="shared" si="89"/>
        <v>21.038197678278859</v>
      </c>
      <c r="AJ107" s="253">
        <f t="shared" si="89"/>
        <v>13.943109394603749</v>
      </c>
      <c r="AK107" s="253">
        <f t="shared" si="90"/>
        <v>16.217656289441585</v>
      </c>
      <c r="AL107" s="253">
        <f t="shared" si="90"/>
        <v>16.047788159517395</v>
      </c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79"/>
      <c r="BB107" s="253">
        <f t="shared" si="92"/>
        <v>28.471953979546182</v>
      </c>
      <c r="BC107" s="306">
        <f t="shared" si="92"/>
        <v>-23.938946425130116</v>
      </c>
      <c r="BD107" s="253">
        <f t="shared" si="92"/>
        <v>34.016574276754973</v>
      </c>
      <c r="BE107" s="253">
        <f t="shared" si="92"/>
        <v>21.872139508550781</v>
      </c>
      <c r="BF107" s="37">
        <f t="shared" si="92"/>
        <v>-0.40329368980971392</v>
      </c>
      <c r="BH107" s="262">
        <f t="shared" si="93"/>
        <v>132342.76</v>
      </c>
      <c r="BI107" s="263">
        <f t="shared" si="105"/>
        <v>0.86178711541175201</v>
      </c>
      <c r="BJ107" s="270"/>
      <c r="BK107" s="270"/>
      <c r="BL107" s="270"/>
    </row>
    <row r="108" spans="1:64" ht="11.7" customHeight="1">
      <c r="A108" s="82" t="s">
        <v>20</v>
      </c>
      <c r="B108" s="34">
        <v>2731.218253968254</v>
      </c>
      <c r="C108" s="34">
        <v>3256.5369340746629</v>
      </c>
      <c r="D108" s="34">
        <v>3825.9163987138268</v>
      </c>
      <c r="E108" s="34">
        <v>4938.4902597402597</v>
      </c>
      <c r="F108" s="34">
        <v>4792.5674603174602</v>
      </c>
      <c r="G108" s="34">
        <v>4954.97</v>
      </c>
      <c r="H108" s="34">
        <v>4346.53</v>
      </c>
      <c r="I108" s="34">
        <v>4983.12</v>
      </c>
      <c r="J108" s="34">
        <v>6279.37</v>
      </c>
      <c r="K108" s="34">
        <v>5742.2</v>
      </c>
      <c r="L108" s="34">
        <v>6151.08</v>
      </c>
      <c r="M108" s="43">
        <v>6485.55</v>
      </c>
      <c r="N108" s="43">
        <v>8150.45</v>
      </c>
      <c r="O108" s="43">
        <v>10189.16</v>
      </c>
      <c r="P108" s="43">
        <v>11802.75</v>
      </c>
      <c r="Q108" s="34">
        <v>14041.18</v>
      </c>
      <c r="R108" s="105">
        <v>16269.18</v>
      </c>
      <c r="S108" s="34">
        <v>13280.88868</v>
      </c>
      <c r="T108" s="34">
        <v>16450.03</v>
      </c>
      <c r="U108" s="34">
        <v>21225.05</v>
      </c>
      <c r="V108" s="34">
        <v>19750.22</v>
      </c>
      <c r="W108" s="41"/>
      <c r="X108" s="36">
        <f t="shared" si="89"/>
        <v>19.233859445072188</v>
      </c>
      <c r="Y108" s="36">
        <f t="shared" si="89"/>
        <v>17.484201044412593</v>
      </c>
      <c r="Z108" s="36">
        <f t="shared" si="89"/>
        <v>29.079931317904673</v>
      </c>
      <c r="AA108" s="36">
        <f t="shared" si="89"/>
        <v>-2.9548058566075674</v>
      </c>
      <c r="AB108" s="36">
        <f t="shared" si="89"/>
        <v>3.3886333583665884</v>
      </c>
      <c r="AC108" s="36">
        <f t="shared" si="89"/>
        <v>-12.279388169857752</v>
      </c>
      <c r="AD108" s="37">
        <f t="shared" si="89"/>
        <v>14.645935953507738</v>
      </c>
      <c r="AE108" s="37">
        <f t="shared" si="89"/>
        <v>26.012819277882127</v>
      </c>
      <c r="AF108" s="37">
        <f t="shared" si="89"/>
        <v>-8.5545205968114661</v>
      </c>
      <c r="AG108" s="37">
        <f t="shared" si="89"/>
        <v>7.1206157918567881</v>
      </c>
      <c r="AH108" s="37">
        <f t="shared" si="89"/>
        <v>5.4375816929709941</v>
      </c>
      <c r="AI108" s="37">
        <f t="shared" si="89"/>
        <v>25.670914571624603</v>
      </c>
      <c r="AJ108" s="37">
        <f t="shared" si="89"/>
        <v>25.013465514174072</v>
      </c>
      <c r="AK108" s="37">
        <f t="shared" si="90"/>
        <v>15.836339796411082</v>
      </c>
      <c r="AL108" s="37">
        <f t="shared" si="90"/>
        <v>18.965325877443817</v>
      </c>
      <c r="AN108" s="37">
        <f t="shared" ref="AN108:AZ108" si="107">+(C108/C$120)*100</f>
        <v>8.7248707996350241</v>
      </c>
      <c r="AO108" s="37">
        <f t="shared" si="107"/>
        <v>8.421557887873405</v>
      </c>
      <c r="AP108" s="37">
        <f t="shared" si="107"/>
        <v>8.7059742383391736</v>
      </c>
      <c r="AQ108" s="37">
        <f t="shared" si="107"/>
        <v>8.5671149277609846</v>
      </c>
      <c r="AR108" s="37">
        <f t="shared" si="107"/>
        <v>8.4941153680991324</v>
      </c>
      <c r="AS108" s="37">
        <f t="shared" si="107"/>
        <v>7.9767377799294437</v>
      </c>
      <c r="AT108" s="37">
        <f t="shared" si="107"/>
        <v>8.5234791993972312</v>
      </c>
      <c r="AU108" s="37">
        <f t="shared" si="107"/>
        <v>9.0189422534450649</v>
      </c>
      <c r="AV108" s="37">
        <f t="shared" si="107"/>
        <v>8.8093210477602906</v>
      </c>
      <c r="AW108" s="37">
        <f t="shared" si="107"/>
        <v>9.024956445724639</v>
      </c>
      <c r="AX108" s="37">
        <f t="shared" si="107"/>
        <v>8.1028860569715135</v>
      </c>
      <c r="AY108" s="37">
        <f t="shared" si="107"/>
        <v>8.4458136154334937</v>
      </c>
      <c r="AZ108" s="37">
        <f t="shared" si="107"/>
        <v>9.1845816830821931</v>
      </c>
      <c r="BA108" s="79"/>
      <c r="BB108" s="37">
        <f t="shared" si="92"/>
        <v>15.867612266205544</v>
      </c>
      <c r="BC108" s="37">
        <f t="shared" si="92"/>
        <v>-18.367805384168101</v>
      </c>
      <c r="BD108" s="37">
        <f t="shared" si="92"/>
        <v>23.862419122392641</v>
      </c>
      <c r="BE108" s="37">
        <f t="shared" si="92"/>
        <v>29.027424266095569</v>
      </c>
      <c r="BF108" s="37">
        <f t="shared" si="92"/>
        <v>-6.948534867997946</v>
      </c>
      <c r="BH108" s="262">
        <f t="shared" si="93"/>
        <v>21225.05</v>
      </c>
      <c r="BI108" s="263">
        <f t="shared" si="105"/>
        <v>0.13821288458824801</v>
      </c>
      <c r="BJ108" s="271">
        <f>(U94+U95+U97+U99+U101+U103+U106)</f>
        <v>132342.76</v>
      </c>
      <c r="BK108" s="271">
        <f>(V94+V95+V97+V99+V101+V103+V106)</f>
        <v>131809.03</v>
      </c>
      <c r="BL108" s="272">
        <f>((BK108/BJ108)-1)*100</f>
        <v>-0.40329368980971392</v>
      </c>
    </row>
    <row r="109" spans="1:64" ht="11.7" hidden="1" customHeight="1">
      <c r="A109" s="305" t="s">
        <v>21</v>
      </c>
      <c r="B109" s="252">
        <f>B108+B107</f>
        <v>21119.304951548856</v>
      </c>
      <c r="C109" s="252">
        <f t="shared" ref="C109:U109" si="108">C108+C107</f>
        <v>23437.946468123744</v>
      </c>
      <c r="D109" s="252">
        <f t="shared" si="108"/>
        <v>28531.145305085407</v>
      </c>
      <c r="E109" s="252">
        <f t="shared" si="108"/>
        <v>36753.724308049932</v>
      </c>
      <c r="F109" s="252">
        <f t="shared" si="108"/>
        <v>37094.036681997022</v>
      </c>
      <c r="G109" s="252">
        <f t="shared" si="108"/>
        <v>37926.43</v>
      </c>
      <c r="H109" s="252">
        <f t="shared" si="108"/>
        <v>35950.339999999997</v>
      </c>
      <c r="I109" s="252">
        <f t="shared" si="108"/>
        <v>37135.839999999997</v>
      </c>
      <c r="J109" s="252">
        <f t="shared" si="108"/>
        <v>45089.29</v>
      </c>
      <c r="K109" s="252">
        <f t="shared" si="108"/>
        <v>43782.2</v>
      </c>
      <c r="L109" s="252">
        <f t="shared" si="108"/>
        <v>43811.670000000006</v>
      </c>
      <c r="M109" s="252">
        <f t="shared" si="108"/>
        <v>51066.270000000004</v>
      </c>
      <c r="N109" s="252">
        <f t="shared" si="108"/>
        <v>62110.149999999994</v>
      </c>
      <c r="O109" s="252">
        <f t="shared" si="108"/>
        <v>71672.51999999999</v>
      </c>
      <c r="P109" s="252">
        <f t="shared" si="108"/>
        <v>83257.27</v>
      </c>
      <c r="Q109" s="252">
        <f t="shared" si="108"/>
        <v>96962.57</v>
      </c>
      <c r="R109" s="252">
        <f t="shared" si="108"/>
        <v>122799.91</v>
      </c>
      <c r="S109" s="252">
        <f t="shared" si="108"/>
        <v>94309.284298999992</v>
      </c>
      <c r="T109" s="252">
        <f t="shared" si="108"/>
        <v>125041.51</v>
      </c>
      <c r="U109" s="252">
        <f t="shared" si="108"/>
        <v>153567.81</v>
      </c>
      <c r="V109" s="252">
        <f>V108+V107</f>
        <v>151559.25</v>
      </c>
      <c r="W109" s="39"/>
      <c r="X109" s="40"/>
      <c r="Y109" s="40"/>
      <c r="Z109" s="40"/>
      <c r="AA109" s="40"/>
      <c r="AB109" s="40"/>
      <c r="AC109" s="40"/>
      <c r="AD109" s="253"/>
      <c r="AE109" s="253"/>
      <c r="AF109" s="37">
        <f t="shared" si="89"/>
        <v>-2.8988923977290471</v>
      </c>
      <c r="AG109" s="37">
        <f t="shared" si="89"/>
        <v>6.7310459501834785E-2</v>
      </c>
      <c r="AH109" s="253">
        <f t="shared" si="89"/>
        <v>16.558601851972309</v>
      </c>
      <c r="AI109" s="253">
        <f t="shared" si="89"/>
        <v>21.626564853865361</v>
      </c>
      <c r="AJ109" s="253">
        <f t="shared" si="89"/>
        <v>15.395824998007557</v>
      </c>
      <c r="AK109" s="253">
        <f t="shared" si="89"/>
        <v>16.163447301699474</v>
      </c>
      <c r="AL109" s="253">
        <f t="shared" si="90"/>
        <v>16.461385294040998</v>
      </c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79"/>
      <c r="BB109" s="253">
        <f t="shared" si="92"/>
        <v>26.646715325305426</v>
      </c>
      <c r="BC109" s="306">
        <f t="shared" si="92"/>
        <v>-23.200852265282613</v>
      </c>
      <c r="BD109" s="253">
        <f t="shared" si="92"/>
        <v>32.586638663873167</v>
      </c>
      <c r="BE109" s="253">
        <f t="shared" si="92"/>
        <v>22.813464104840065</v>
      </c>
      <c r="BF109" s="253">
        <f t="shared" si="92"/>
        <v>-1.3079303533728881</v>
      </c>
      <c r="BH109" s="262">
        <f t="shared" si="93"/>
        <v>153567.81</v>
      </c>
      <c r="BI109" s="263">
        <f t="shared" si="105"/>
        <v>1</v>
      </c>
    </row>
    <row r="110" spans="1:64" ht="11.7" customHeight="1">
      <c r="A110" s="82" t="s">
        <v>22</v>
      </c>
      <c r="B110" s="34">
        <v>2922.2049441786285</v>
      </c>
      <c r="C110" s="34">
        <v>3668.3213716108457</v>
      </c>
      <c r="D110" s="34">
        <v>4301.0781563126247</v>
      </c>
      <c r="E110" s="34">
        <v>5067.5953432356482</v>
      </c>
      <c r="F110" s="34">
        <v>4571.5693285657526</v>
      </c>
      <c r="G110" s="34">
        <v>5139.1000000000004</v>
      </c>
      <c r="H110" s="34">
        <v>4675.63</v>
      </c>
      <c r="I110" s="34">
        <v>5161.04</v>
      </c>
      <c r="J110" s="34">
        <v>6089.38</v>
      </c>
      <c r="K110" s="34">
        <v>5490.83</v>
      </c>
      <c r="L110" s="34">
        <v>6284.88</v>
      </c>
      <c r="M110" s="34">
        <v>7100.21</v>
      </c>
      <c r="N110" s="34">
        <v>8513.25</v>
      </c>
      <c r="O110" s="34">
        <v>10448.629999999999</v>
      </c>
      <c r="P110" s="34">
        <v>12025.57</v>
      </c>
      <c r="Q110" s="43">
        <v>13576.37</v>
      </c>
      <c r="R110" s="106">
        <v>16295.77</v>
      </c>
      <c r="S110" s="34">
        <v>14904.458542</v>
      </c>
      <c r="T110" s="43">
        <v>18061.48</v>
      </c>
      <c r="U110" s="34"/>
      <c r="V110" s="34" t="s">
        <v>34</v>
      </c>
      <c r="W110" s="41"/>
      <c r="X110" s="36">
        <f t="shared" si="89"/>
        <v>25.532652284315915</v>
      </c>
      <c r="Y110" s="36">
        <f t="shared" si="89"/>
        <v>17.249218936996268</v>
      </c>
      <c r="Z110" s="36">
        <f t="shared" si="89"/>
        <v>17.821512631618152</v>
      </c>
      <c r="AA110" s="36">
        <f t="shared" si="89"/>
        <v>-9.7881930397620174</v>
      </c>
      <c r="AB110" s="36">
        <f t="shared" si="89"/>
        <v>12.414351192007423</v>
      </c>
      <c r="AC110" s="36">
        <f t="shared" si="89"/>
        <v>-9.0185051857329164</v>
      </c>
      <c r="AD110" s="37">
        <f t="shared" si="89"/>
        <v>10.381702572701435</v>
      </c>
      <c r="AE110" s="37">
        <f t="shared" si="89"/>
        <v>17.987459891804747</v>
      </c>
      <c r="AF110" s="37">
        <f t="shared" si="89"/>
        <v>-9.829407920018129</v>
      </c>
      <c r="AG110" s="37">
        <f t="shared" si="89"/>
        <v>14.461383798077886</v>
      </c>
      <c r="AH110" s="37">
        <f t="shared" si="89"/>
        <v>12.972880946016474</v>
      </c>
      <c r="AI110" s="37">
        <f t="shared" si="89"/>
        <v>19.901383198525124</v>
      </c>
      <c r="AJ110" s="37">
        <f t="shared" si="89"/>
        <v>22.733738583972031</v>
      </c>
      <c r="AK110" s="37">
        <f t="shared" si="89"/>
        <v>15.092313537755665</v>
      </c>
      <c r="AL110" s="37">
        <f t="shared" si="89"/>
        <v>12.895854416880038</v>
      </c>
      <c r="AN110" s="37">
        <f t="shared" ref="AN110:AZ111" si="109">+(C110/C$120)*100</f>
        <v>9.8281182331926757</v>
      </c>
      <c r="AO110" s="37">
        <f t="shared" si="109"/>
        <v>9.4674778272288975</v>
      </c>
      <c r="AP110" s="37">
        <f t="shared" si="109"/>
        <v>8.9335712309084361</v>
      </c>
      <c r="AQ110" s="37">
        <f t="shared" si="109"/>
        <v>8.1720622948634745</v>
      </c>
      <c r="AR110" s="37">
        <f t="shared" si="109"/>
        <v>8.8097623776124276</v>
      </c>
      <c r="AS110" s="37">
        <f t="shared" si="109"/>
        <v>8.580701034151728</v>
      </c>
      <c r="AT110" s="37">
        <f t="shared" si="109"/>
        <v>8.8278060908140041</v>
      </c>
      <c r="AU110" s="37">
        <f t="shared" si="109"/>
        <v>8.7460631527180759</v>
      </c>
      <c r="AV110" s="37">
        <f t="shared" si="109"/>
        <v>8.4236850490532618</v>
      </c>
      <c r="AW110" s="37">
        <f t="shared" si="109"/>
        <v>9.2212698041003982</v>
      </c>
      <c r="AX110" s="37">
        <f t="shared" si="109"/>
        <v>8.8708270864567709</v>
      </c>
      <c r="AY110" s="37">
        <f t="shared" si="109"/>
        <v>8.8217611005023269</v>
      </c>
      <c r="AZ110" s="37">
        <f t="shared" si="109"/>
        <v>9.4184697964604638</v>
      </c>
      <c r="BA110" s="79"/>
      <c r="BB110" s="37">
        <f t="shared" si="92"/>
        <v>20.030391039725636</v>
      </c>
      <c r="BC110" s="37">
        <f t="shared" si="92"/>
        <v>-8.537868772080115</v>
      </c>
      <c r="BD110" s="37">
        <f t="shared" si="92"/>
        <v>21.181725247540363</v>
      </c>
      <c r="BE110" s="140">
        <f t="shared" si="92"/>
        <v>-100</v>
      </c>
      <c r="BF110" s="140" t="s">
        <v>9</v>
      </c>
      <c r="BH110" s="262">
        <f t="shared" si="93"/>
        <v>0</v>
      </c>
      <c r="BI110" s="263">
        <f t="shared" si="105"/>
        <v>0</v>
      </c>
    </row>
    <row r="111" spans="1:64" ht="11.7" customHeight="1">
      <c r="A111" s="84" t="s">
        <v>23</v>
      </c>
      <c r="B111" s="38">
        <f t="shared" ref="B111:T111" si="110">+B106+B108+B110</f>
        <v>8531.5667919588632</v>
      </c>
      <c r="C111" s="38">
        <f t="shared" si="110"/>
        <v>10270.998377313046</v>
      </c>
      <c r="D111" s="38">
        <f t="shared" si="110"/>
        <v>11872.7747395431</v>
      </c>
      <c r="E111" s="38">
        <f t="shared" si="110"/>
        <v>14670.194856950631</v>
      </c>
      <c r="F111" s="38">
        <f t="shared" si="110"/>
        <v>13881.192344438768</v>
      </c>
      <c r="G111" s="38">
        <f t="shared" si="110"/>
        <v>14975.61</v>
      </c>
      <c r="H111" s="38">
        <f t="shared" si="110"/>
        <v>13708.46</v>
      </c>
      <c r="I111" s="38">
        <f t="shared" si="110"/>
        <v>15200.279999999999</v>
      </c>
      <c r="J111" s="38">
        <f t="shared" si="110"/>
        <v>18503.96</v>
      </c>
      <c r="K111" s="38">
        <f t="shared" si="110"/>
        <v>16553.23</v>
      </c>
      <c r="L111" s="38">
        <f t="shared" si="110"/>
        <v>18006.68</v>
      </c>
      <c r="M111" s="38">
        <f t="shared" si="110"/>
        <v>20077.509999999998</v>
      </c>
      <c r="N111" s="38">
        <f t="shared" si="110"/>
        <v>24727.439999999999</v>
      </c>
      <c r="O111" s="38">
        <f t="shared" si="110"/>
        <v>30192.86</v>
      </c>
      <c r="P111" s="38">
        <f t="shared" si="110"/>
        <v>34940.770000000004</v>
      </c>
      <c r="Q111" s="38">
        <f t="shared" si="110"/>
        <v>39592.44</v>
      </c>
      <c r="R111" s="38">
        <f t="shared" si="110"/>
        <v>49934.58</v>
      </c>
      <c r="S111" s="38">
        <f t="shared" si="110"/>
        <v>41090.489745999999</v>
      </c>
      <c r="T111" s="38">
        <f t="shared" si="110"/>
        <v>50075.49</v>
      </c>
      <c r="U111" s="38"/>
      <c r="V111" s="38" t="s">
        <v>9</v>
      </c>
      <c r="W111" s="39"/>
      <c r="X111" s="40">
        <f t="shared" si="89"/>
        <v>20.388184582855583</v>
      </c>
      <c r="Y111" s="40">
        <f t="shared" si="89"/>
        <v>15.595137915395995</v>
      </c>
      <c r="Z111" s="40">
        <f t="shared" si="89"/>
        <v>23.561637264880719</v>
      </c>
      <c r="AA111" s="40">
        <f t="shared" si="89"/>
        <v>-5.3782687974184507</v>
      </c>
      <c r="AB111" s="40">
        <f t="shared" si="89"/>
        <v>7.8841761457162596</v>
      </c>
      <c r="AC111" s="40">
        <f t="shared" si="89"/>
        <v>-8.4614249436250066</v>
      </c>
      <c r="AD111" s="253">
        <f t="shared" si="89"/>
        <v>10.882476952188647</v>
      </c>
      <c r="AE111" s="253">
        <f t="shared" si="89"/>
        <v>21.734336472749185</v>
      </c>
      <c r="AF111" s="253">
        <f t="shared" si="89"/>
        <v>-10.542229879442022</v>
      </c>
      <c r="AG111" s="253">
        <f t="shared" si="89"/>
        <v>8.7804615775894046</v>
      </c>
      <c r="AH111" s="253">
        <f t="shared" si="89"/>
        <v>11.50034320596578</v>
      </c>
      <c r="AI111" s="253">
        <f t="shared" si="89"/>
        <v>23.159893831456202</v>
      </c>
      <c r="AJ111" s="253">
        <f t="shared" si="89"/>
        <v>22.102651952648557</v>
      </c>
      <c r="AK111" s="253">
        <f t="shared" si="89"/>
        <v>15.725274121100163</v>
      </c>
      <c r="AL111" s="253">
        <f t="shared" si="89"/>
        <v>13.313015139620553</v>
      </c>
      <c r="AN111" s="37">
        <f t="shared" si="109"/>
        <v>27.517923376717562</v>
      </c>
      <c r="AO111" s="37">
        <f t="shared" si="109"/>
        <v>26.134198800673332</v>
      </c>
      <c r="AP111" s="37">
        <f t="shared" si="109"/>
        <v>25.861818446260415</v>
      </c>
      <c r="AQ111" s="37">
        <f t="shared" si="109"/>
        <v>24.813791591633741</v>
      </c>
      <c r="AR111" s="37">
        <f t="shared" si="109"/>
        <v>25.672114876106022</v>
      </c>
      <c r="AS111" s="37">
        <f t="shared" si="109"/>
        <v>25.157721397678511</v>
      </c>
      <c r="AT111" s="37">
        <f t="shared" si="109"/>
        <v>25.999628827925825</v>
      </c>
      <c r="AU111" s="37">
        <f t="shared" si="109"/>
        <v>26.576893334850045</v>
      </c>
      <c r="AV111" s="37">
        <f t="shared" si="109"/>
        <v>25.394921362442457</v>
      </c>
      <c r="AW111" s="37">
        <f t="shared" si="109"/>
        <v>26.419669835557485</v>
      </c>
      <c r="AX111" s="37">
        <f t="shared" si="109"/>
        <v>25.084345327336333</v>
      </c>
      <c r="AY111" s="37">
        <f t="shared" si="109"/>
        <v>25.623536053446717</v>
      </c>
      <c r="AZ111" s="37">
        <f t="shared" si="109"/>
        <v>27.216059902471358</v>
      </c>
      <c r="BA111" s="79"/>
      <c r="BB111" s="253">
        <f t="shared" si="92"/>
        <v>26.121501983712037</v>
      </c>
      <c r="BC111" s="306">
        <f t="shared" si="92"/>
        <v>-17.711354043630688</v>
      </c>
      <c r="BD111" s="253">
        <f t="shared" si="92"/>
        <v>21.866374213450833</v>
      </c>
      <c r="BE111" s="253">
        <f t="shared" si="92"/>
        <v>-100</v>
      </c>
      <c r="BF111" s="253" t="s">
        <v>9</v>
      </c>
      <c r="BH111" s="262" t="s">
        <v>9</v>
      </c>
      <c r="BI111" s="263"/>
    </row>
    <row r="112" spans="1:64" ht="11.7" hidden="1" customHeight="1">
      <c r="A112" s="305" t="s">
        <v>24</v>
      </c>
      <c r="B112" s="38">
        <f t="shared" ref="B112:V112" si="111">+B105+B106+B108+B110</f>
        <v>24041.509895727486</v>
      </c>
      <c r="C112" s="38">
        <f t="shared" si="111"/>
        <v>27106.267839734588</v>
      </c>
      <c r="D112" s="38">
        <f t="shared" si="111"/>
        <v>32832.223461398033</v>
      </c>
      <c r="E112" s="38">
        <f t="shared" si="111"/>
        <v>41821.319651285579</v>
      </c>
      <c r="F112" s="38">
        <f t="shared" si="111"/>
        <v>41665.606010562777</v>
      </c>
      <c r="G112" s="38">
        <f t="shared" si="111"/>
        <v>43065.53</v>
      </c>
      <c r="H112" s="38">
        <f t="shared" si="111"/>
        <v>40625.969999999994</v>
      </c>
      <c r="I112" s="38">
        <f t="shared" si="111"/>
        <v>42296.88</v>
      </c>
      <c r="J112" s="38">
        <f t="shared" si="111"/>
        <v>51178.67</v>
      </c>
      <c r="K112" s="38">
        <f t="shared" si="111"/>
        <v>49273.03</v>
      </c>
      <c r="L112" s="38">
        <f t="shared" si="111"/>
        <v>50096.55</v>
      </c>
      <c r="M112" s="38">
        <f t="shared" si="111"/>
        <v>58166.48</v>
      </c>
      <c r="N112" s="38">
        <f t="shared" si="111"/>
        <v>70623.399999999994</v>
      </c>
      <c r="O112" s="38">
        <f t="shared" si="111"/>
        <v>82121.149999999994</v>
      </c>
      <c r="P112" s="38">
        <f t="shared" si="111"/>
        <v>95282.84</v>
      </c>
      <c r="Q112" s="38">
        <f t="shared" si="111"/>
        <v>110538.94</v>
      </c>
      <c r="R112" s="38">
        <f t="shared" si="111"/>
        <v>139095.67999999999</v>
      </c>
      <c r="S112" s="38">
        <f t="shared" si="111"/>
        <v>109213.742841</v>
      </c>
      <c r="T112" s="38">
        <f t="shared" si="111"/>
        <v>143102.99</v>
      </c>
      <c r="U112" s="38"/>
      <c r="V112" s="38" t="e">
        <f t="shared" si="111"/>
        <v>#VALUE!</v>
      </c>
      <c r="W112" s="39"/>
      <c r="X112" s="40">
        <f t="shared" si="89"/>
        <v>12.747776480343909</v>
      </c>
      <c r="Y112" s="40">
        <f t="shared" si="89"/>
        <v>21.124101833266295</v>
      </c>
      <c r="Z112" s="40">
        <f t="shared" si="89"/>
        <v>27.378883432784672</v>
      </c>
      <c r="AA112" s="40">
        <f t="shared" si="89"/>
        <v>-0.37233076818515842</v>
      </c>
      <c r="AB112" s="40">
        <f t="shared" si="89"/>
        <v>3.3599031034909688</v>
      </c>
      <c r="AC112" s="40">
        <f t="shared" si="89"/>
        <v>-5.6647625142428382</v>
      </c>
      <c r="AD112" s="253">
        <f t="shared" si="89"/>
        <v>4.112911027109023</v>
      </c>
      <c r="AE112" s="253">
        <f t="shared" si="89"/>
        <v>20.998688319327584</v>
      </c>
      <c r="AF112" s="253">
        <f t="shared" si="89"/>
        <v>-3.7235043427271575</v>
      </c>
      <c r="AG112" s="253">
        <f t="shared" si="89"/>
        <v>1.6713402849388492</v>
      </c>
      <c r="AH112" s="253">
        <f t="shared" si="89"/>
        <v>16.108753996033663</v>
      </c>
      <c r="AI112" s="253">
        <f t="shared" si="89"/>
        <v>21.415977036946355</v>
      </c>
      <c r="AJ112" s="253">
        <f t="shared" si="89"/>
        <v>16.280368829594714</v>
      </c>
      <c r="AK112" s="253">
        <f t="shared" si="89"/>
        <v>16.027162308370023</v>
      </c>
      <c r="AL112" s="253">
        <f t="shared" si="89"/>
        <v>16.011382532258711</v>
      </c>
      <c r="AN112" s="37">
        <f t="shared" ref="AN112:AZ112" si="112">+(C112/C$30)*100</f>
        <v>2.8810017360382467</v>
      </c>
      <c r="AO112" s="37">
        <f t="shared" si="112"/>
        <v>2.8860915333978108</v>
      </c>
      <c r="AP112" s="37">
        <f t="shared" si="112"/>
        <v>2.973833413504289</v>
      </c>
      <c r="AQ112" s="37">
        <f t="shared" si="112"/>
        <v>2.9528310097785915</v>
      </c>
      <c r="AR112" s="37">
        <f t="shared" si="112"/>
        <v>2.3836807315899651</v>
      </c>
      <c r="AS112" s="37">
        <f t="shared" si="112"/>
        <v>1.8071331797507713</v>
      </c>
      <c r="AT112" s="37">
        <f t="shared" si="112"/>
        <v>1.9102136087965189</v>
      </c>
      <c r="AU112" s="37">
        <f t="shared" si="112"/>
        <v>1.8488971267821885</v>
      </c>
      <c r="AV112" s="37">
        <f t="shared" si="112"/>
        <v>1.7080792996053404</v>
      </c>
      <c r="AW112" s="37">
        <f t="shared" si="112"/>
        <v>1.7133220017607123</v>
      </c>
      <c r="AX112" s="37">
        <f t="shared" si="112"/>
        <v>1.7490363600627965</v>
      </c>
      <c r="AY112" s="37">
        <f t="shared" si="112"/>
        <v>1.8231559202939012</v>
      </c>
      <c r="AZ112" s="37">
        <f t="shared" si="112"/>
        <v>1.8501208985934796</v>
      </c>
      <c r="BA112" s="79"/>
      <c r="BB112" s="253">
        <f t="shared" si="92"/>
        <v>25.83409972992321</v>
      </c>
      <c r="BC112" s="306">
        <f t="shared" si="92"/>
        <v>-21.483008788626645</v>
      </c>
      <c r="BD112" s="253">
        <f t="shared" si="92"/>
        <v>31.030203962827297</v>
      </c>
      <c r="BE112" s="253">
        <f t="shared" si="92"/>
        <v>-100</v>
      </c>
      <c r="BF112" s="253" t="e">
        <f t="shared" si="92"/>
        <v>#VALUE!</v>
      </c>
      <c r="BH112" s="262">
        <f t="shared" si="93"/>
        <v>0</v>
      </c>
      <c r="BI112" s="263"/>
    </row>
    <row r="113" spans="1:61" ht="11.7" customHeight="1">
      <c r="A113" s="82" t="s">
        <v>25</v>
      </c>
      <c r="B113" s="34">
        <v>2893.5153447588682</v>
      </c>
      <c r="C113" s="34">
        <v>3450.0477516912056</v>
      </c>
      <c r="D113" s="34">
        <v>4049.158953722334</v>
      </c>
      <c r="E113" s="34">
        <v>4852.7606871753896</v>
      </c>
      <c r="F113" s="34">
        <v>4694.770750988142</v>
      </c>
      <c r="G113" s="34">
        <v>5307.77</v>
      </c>
      <c r="H113" s="34">
        <v>4632.58</v>
      </c>
      <c r="I113" s="34">
        <v>5477.32</v>
      </c>
      <c r="J113" s="34">
        <v>6309.06</v>
      </c>
      <c r="K113" s="34">
        <v>5435.98</v>
      </c>
      <c r="L113" s="34">
        <v>6315</v>
      </c>
      <c r="M113" s="34">
        <v>7415.55</v>
      </c>
      <c r="N113" s="34">
        <v>8831.27</v>
      </c>
      <c r="O113" s="34">
        <v>9573.89</v>
      </c>
      <c r="P113" s="34">
        <v>11458.18</v>
      </c>
      <c r="Q113" s="34">
        <v>14818.87</v>
      </c>
      <c r="R113" s="105">
        <v>15267.03</v>
      </c>
      <c r="S113" s="34">
        <v>14811.365400000001</v>
      </c>
      <c r="T113" s="34">
        <v>17132.8</v>
      </c>
      <c r="U113" s="34"/>
      <c r="V113" s="34" t="s">
        <v>9</v>
      </c>
      <c r="W113" s="35"/>
      <c r="X113" s="36">
        <f t="shared" si="89"/>
        <v>19.233781080180034</v>
      </c>
      <c r="Y113" s="36">
        <f t="shared" si="89"/>
        <v>17.365301733503415</v>
      </c>
      <c r="Z113" s="36">
        <f t="shared" si="89"/>
        <v>19.846139473342127</v>
      </c>
      <c r="AA113" s="36">
        <f t="shared" si="89"/>
        <v>-3.2556712842810254</v>
      </c>
      <c r="AB113" s="36">
        <f t="shared" si="89"/>
        <v>13.057064583671863</v>
      </c>
      <c r="AC113" s="36">
        <f t="shared" si="89"/>
        <v>-12.720784811700591</v>
      </c>
      <c r="AD113" s="37">
        <f t="shared" si="89"/>
        <v>18.234763350012308</v>
      </c>
      <c r="AE113" s="37">
        <f t="shared" si="89"/>
        <v>15.185163547136193</v>
      </c>
      <c r="AF113" s="37">
        <f t="shared" si="89"/>
        <v>-13.838511600777304</v>
      </c>
      <c r="AG113" s="37">
        <f t="shared" si="89"/>
        <v>16.170405336296323</v>
      </c>
      <c r="AH113" s="37">
        <f t="shared" si="89"/>
        <v>17.427553444180521</v>
      </c>
      <c r="AI113" s="37">
        <f t="shared" si="89"/>
        <v>19.091233961068287</v>
      </c>
      <c r="AJ113" s="73">
        <f t="shared" si="89"/>
        <v>8.4089830794438214</v>
      </c>
      <c r="AK113" s="37">
        <f t="shared" ref="AJ113:AL120" si="113">((P113/O113)-1)*100</f>
        <v>19.681550550507687</v>
      </c>
      <c r="AL113" s="37">
        <f t="shared" si="113"/>
        <v>29.330050671223539</v>
      </c>
      <c r="AN113" s="37">
        <f t="shared" ref="AN113:AZ113" si="114">+(C113/C$120)*100</f>
        <v>9.243322429760882</v>
      </c>
      <c r="AO113" s="37">
        <f t="shared" si="114"/>
        <v>8.9129565239421211</v>
      </c>
      <c r="AP113" s="37">
        <f t="shared" si="114"/>
        <v>8.5548431413927872</v>
      </c>
      <c r="AQ113" s="37">
        <f t="shared" si="114"/>
        <v>8.3922951353807207</v>
      </c>
      <c r="AR113" s="37">
        <f t="shared" si="114"/>
        <v>9.0989069010176724</v>
      </c>
      <c r="AS113" s="37">
        <f t="shared" si="114"/>
        <v>8.5016958135674994</v>
      </c>
      <c r="AT113" s="37">
        <f t="shared" si="114"/>
        <v>9.3687936651018706</v>
      </c>
      <c r="AU113" s="37">
        <f t="shared" si="114"/>
        <v>9.0615854478267899</v>
      </c>
      <c r="AV113" s="37">
        <f t="shared" si="114"/>
        <v>8.3395376387454263</v>
      </c>
      <c r="AW113" s="37">
        <f t="shared" si="114"/>
        <v>9.2654623179589759</v>
      </c>
      <c r="AX113" s="37">
        <f t="shared" si="114"/>
        <v>9.2648050974512746</v>
      </c>
      <c r="AY113" s="37">
        <f t="shared" si="114"/>
        <v>9.1513058061296455</v>
      </c>
      <c r="AZ113" s="37">
        <f t="shared" si="114"/>
        <v>8.6299729055038661</v>
      </c>
      <c r="BA113" s="79"/>
      <c r="BB113" s="37">
        <f t="shared" si="92"/>
        <v>3.024252186570231</v>
      </c>
      <c r="BC113" s="73">
        <f t="shared" si="92"/>
        <v>-2.9846315884621943</v>
      </c>
      <c r="BD113" s="37">
        <f t="shared" si="92"/>
        <v>15.67333285829271</v>
      </c>
      <c r="BE113" s="37">
        <f t="shared" si="92"/>
        <v>-100</v>
      </c>
      <c r="BF113" s="37" t="s">
        <v>9</v>
      </c>
      <c r="BH113" s="262">
        <f t="shared" si="93"/>
        <v>0</v>
      </c>
      <c r="BI113" s="263">
        <f t="shared" ref="BI113:BI117" si="115">+BH113/BH$120</f>
        <v>0</v>
      </c>
    </row>
    <row r="114" spans="1:61" ht="11.7" hidden="1" customHeight="1">
      <c r="A114" s="305" t="s">
        <v>26</v>
      </c>
      <c r="B114" s="252">
        <f t="shared" ref="B114:T114" si="116">+B105+B111+B113</f>
        <v>26935.025240486353</v>
      </c>
      <c r="C114" s="252">
        <f t="shared" si="116"/>
        <v>30556.315591425795</v>
      </c>
      <c r="D114" s="252">
        <f t="shared" si="116"/>
        <v>36881.382415120366</v>
      </c>
      <c r="E114" s="252">
        <f t="shared" si="116"/>
        <v>46674.080338460968</v>
      </c>
      <c r="F114" s="252">
        <f t="shared" si="116"/>
        <v>46360.376761550913</v>
      </c>
      <c r="G114" s="252">
        <f t="shared" si="116"/>
        <v>48373.3</v>
      </c>
      <c r="H114" s="252">
        <f t="shared" si="116"/>
        <v>45258.55</v>
      </c>
      <c r="I114" s="252">
        <f t="shared" si="116"/>
        <v>47774.2</v>
      </c>
      <c r="J114" s="252">
        <f t="shared" si="116"/>
        <v>57487.729999999996</v>
      </c>
      <c r="K114" s="252">
        <f t="shared" si="116"/>
        <v>54709.009999999995</v>
      </c>
      <c r="L114" s="252">
        <f t="shared" si="116"/>
        <v>56411.55</v>
      </c>
      <c r="M114" s="252">
        <f t="shared" si="116"/>
        <v>65582.03</v>
      </c>
      <c r="N114" s="252">
        <f t="shared" si="116"/>
        <v>79454.67</v>
      </c>
      <c r="O114" s="252">
        <f t="shared" si="116"/>
        <v>91695.039999999994</v>
      </c>
      <c r="P114" s="252">
        <f t="shared" si="116"/>
        <v>106741.01999999999</v>
      </c>
      <c r="Q114" s="252">
        <f t="shared" si="116"/>
        <v>125357.81</v>
      </c>
      <c r="R114" s="252">
        <f t="shared" si="116"/>
        <v>154362.71</v>
      </c>
      <c r="S114" s="252">
        <f t="shared" si="116"/>
        <v>124025.10824099999</v>
      </c>
      <c r="T114" s="252">
        <f t="shared" si="116"/>
        <v>160235.78999999998</v>
      </c>
      <c r="U114" s="252"/>
      <c r="V114" s="252" t="s">
        <v>9</v>
      </c>
      <c r="W114" s="39"/>
      <c r="X114" s="40">
        <f t="shared" ref="X114:AI120" si="117">((C114/B114)-1)*100</f>
        <v>13.444540402717852</v>
      </c>
      <c r="Y114" s="40">
        <f t="shared" si="117"/>
        <v>20.699703813340008</v>
      </c>
      <c r="Z114" s="40">
        <f t="shared" si="117"/>
        <v>26.551873281533677</v>
      </c>
      <c r="AA114" s="40">
        <f t="shared" si="117"/>
        <v>-0.67211517535044063</v>
      </c>
      <c r="AB114" s="40">
        <f t="shared" si="117"/>
        <v>4.3419043999627593</v>
      </c>
      <c r="AC114" s="40">
        <f t="shared" si="117"/>
        <v>-6.4389859695327845</v>
      </c>
      <c r="AD114" s="253">
        <f t="shared" si="117"/>
        <v>5.5583972531156878</v>
      </c>
      <c r="AE114" s="253">
        <f t="shared" si="117"/>
        <v>20.332166734346146</v>
      </c>
      <c r="AF114" s="253">
        <f t="shared" si="117"/>
        <v>-4.8335879673801703</v>
      </c>
      <c r="AG114" s="253">
        <f t="shared" si="117"/>
        <v>3.1119919735341783</v>
      </c>
      <c r="AH114" s="253">
        <f t="shared" si="117"/>
        <v>16.256387211484167</v>
      </c>
      <c r="AI114" s="253">
        <f t="shared" si="117"/>
        <v>21.153111606944776</v>
      </c>
      <c r="AJ114" s="253">
        <f t="shared" si="113"/>
        <v>15.405475851828454</v>
      </c>
      <c r="AK114" s="253">
        <f t="shared" si="113"/>
        <v>16.408717418084983</v>
      </c>
      <c r="AL114" s="253">
        <f t="shared" si="113"/>
        <v>17.4410831000116</v>
      </c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79"/>
      <c r="BB114" s="253">
        <f t="shared" si="92"/>
        <v>23.13768882848224</v>
      </c>
      <c r="BC114" s="306">
        <f t="shared" si="92"/>
        <v>-19.653452416713858</v>
      </c>
      <c r="BD114" s="253">
        <f t="shared" si="92"/>
        <v>29.196250882230256</v>
      </c>
      <c r="BE114" s="253">
        <f t="shared" si="92"/>
        <v>-100</v>
      </c>
      <c r="BF114" s="253" t="s">
        <v>9</v>
      </c>
      <c r="BH114" s="262">
        <f t="shared" si="93"/>
        <v>0</v>
      </c>
      <c r="BI114" s="263">
        <f t="shared" si="115"/>
        <v>0</v>
      </c>
    </row>
    <row r="115" spans="1:61" ht="11.7" customHeight="1">
      <c r="A115" s="82" t="s">
        <v>27</v>
      </c>
      <c r="B115" s="34">
        <v>2687.9231074118115</v>
      </c>
      <c r="C115" s="34">
        <v>3416.2995245641837</v>
      </c>
      <c r="D115" s="34">
        <v>4312.5464083938659</v>
      </c>
      <c r="E115" s="34">
        <v>5210.8396641343461</v>
      </c>
      <c r="F115" s="34">
        <v>4882.2807707432166</v>
      </c>
      <c r="G115" s="34">
        <v>4920.42</v>
      </c>
      <c r="H115" s="34">
        <v>4555.42</v>
      </c>
      <c r="I115" s="34">
        <v>5346.5</v>
      </c>
      <c r="J115" s="34">
        <v>6219.54</v>
      </c>
      <c r="K115" s="34">
        <v>5441.04</v>
      </c>
      <c r="L115" s="34">
        <v>6200.43</v>
      </c>
      <c r="M115" s="34">
        <v>7212.16</v>
      </c>
      <c r="N115" s="34">
        <v>8591.2099999999991</v>
      </c>
      <c r="O115" s="34">
        <v>9833.8799999999992</v>
      </c>
      <c r="P115" s="34">
        <v>11834.61</v>
      </c>
      <c r="Q115" s="34">
        <v>14925.66</v>
      </c>
      <c r="R115" s="105">
        <v>11808</v>
      </c>
      <c r="S115" s="34">
        <v>13779.229531999999</v>
      </c>
      <c r="T115" s="34">
        <v>17699.72</v>
      </c>
      <c r="U115" s="34"/>
      <c r="V115" s="34" t="s">
        <v>9</v>
      </c>
      <c r="W115" s="35"/>
      <c r="X115" s="36">
        <f t="shared" si="117"/>
        <v>27.098112112802308</v>
      </c>
      <c r="Y115" s="36">
        <f t="shared" si="117"/>
        <v>26.234435165459224</v>
      </c>
      <c r="Z115" s="36">
        <f t="shared" si="117"/>
        <v>20.829764382177029</v>
      </c>
      <c r="AA115" s="36">
        <f t="shared" si="117"/>
        <v>-6.3052965465923876</v>
      </c>
      <c r="AB115" s="36">
        <f t="shared" si="117"/>
        <v>0.781176483854229</v>
      </c>
      <c r="AC115" s="36">
        <f t="shared" si="117"/>
        <v>-7.4180659374606268</v>
      </c>
      <c r="AD115" s="37">
        <f t="shared" si="117"/>
        <v>17.365687466797787</v>
      </c>
      <c r="AE115" s="37">
        <f t="shared" si="117"/>
        <v>16.329187318806703</v>
      </c>
      <c r="AF115" s="37">
        <f t="shared" si="117"/>
        <v>-12.517002865163661</v>
      </c>
      <c r="AG115" s="37">
        <f t="shared" si="117"/>
        <v>13.956706806051788</v>
      </c>
      <c r="AH115" s="37">
        <f t="shared" si="117"/>
        <v>16.317094137019517</v>
      </c>
      <c r="AI115" s="37">
        <f t="shared" si="117"/>
        <v>19.121178676013841</v>
      </c>
      <c r="AJ115" s="73">
        <f t="shared" si="113"/>
        <v>14.464435161054157</v>
      </c>
      <c r="AK115" s="37">
        <f t="shared" si="113"/>
        <v>20.345275720265054</v>
      </c>
      <c r="AL115" s="37">
        <f>((Q115/P115)-1)*100</f>
        <v>26.118731415737393</v>
      </c>
      <c r="AN115" s="37">
        <f t="shared" ref="AN115:AZ115" si="118">+(C115/C$120)*100</f>
        <v>9.1529046247855881</v>
      </c>
      <c r="AO115" s="37">
        <f t="shared" si="118"/>
        <v>9.4927215959655502</v>
      </c>
      <c r="AP115" s="37">
        <f t="shared" si="118"/>
        <v>9.1860940267310696</v>
      </c>
      <c r="AQ115" s="37">
        <f t="shared" si="118"/>
        <v>8.7274849689406331</v>
      </c>
      <c r="AR115" s="37">
        <f t="shared" si="118"/>
        <v>8.434887625858952</v>
      </c>
      <c r="AS115" s="37">
        <f t="shared" si="118"/>
        <v>8.3600920314471967</v>
      </c>
      <c r="AT115" s="37">
        <f t="shared" si="118"/>
        <v>9.1450299289556121</v>
      </c>
      <c r="AU115" s="37">
        <f t="shared" si="118"/>
        <v>8.9330095380574353</v>
      </c>
      <c r="AV115" s="37">
        <f t="shared" si="118"/>
        <v>8.3473003715833052</v>
      </c>
      <c r="AW115" s="37">
        <f t="shared" si="118"/>
        <v>9.0973635027937245</v>
      </c>
      <c r="AX115" s="37">
        <f t="shared" si="118"/>
        <v>9.0106946526736635</v>
      </c>
      <c r="AY115" s="37">
        <f t="shared" si="118"/>
        <v>8.9025462877569197</v>
      </c>
      <c r="AZ115" s="37">
        <f t="shared" si="118"/>
        <v>8.8643297506004721</v>
      </c>
      <c r="BA115" s="79"/>
      <c r="BB115" s="37">
        <f t="shared" si="92"/>
        <v>-20.887920534167336</v>
      </c>
      <c r="BC115" s="73">
        <f t="shared" si="92"/>
        <v>16.694017039295382</v>
      </c>
      <c r="BD115" s="37">
        <f t="shared" si="92"/>
        <v>28.452174767067383</v>
      </c>
      <c r="BE115" s="140">
        <f t="shared" si="92"/>
        <v>-100</v>
      </c>
      <c r="BF115" s="140" t="s">
        <v>9</v>
      </c>
      <c r="BH115" s="262">
        <f t="shared" si="93"/>
        <v>0</v>
      </c>
      <c r="BI115" s="263">
        <f t="shared" si="115"/>
        <v>0</v>
      </c>
    </row>
    <row r="116" spans="1:61" ht="11.7" hidden="1" customHeight="1">
      <c r="A116" s="305" t="s">
        <v>28</v>
      </c>
      <c r="B116" s="252">
        <f t="shared" ref="B116:T116" si="119">+B105+B111+B113+B115</f>
        <v>29622.948347898164</v>
      </c>
      <c r="C116" s="252">
        <f t="shared" si="119"/>
        <v>33972.615115989982</v>
      </c>
      <c r="D116" s="252">
        <f t="shared" si="119"/>
        <v>41193.92882351423</v>
      </c>
      <c r="E116" s="252">
        <f t="shared" si="119"/>
        <v>51884.920002595318</v>
      </c>
      <c r="F116" s="252">
        <f t="shared" si="119"/>
        <v>51242.657532294128</v>
      </c>
      <c r="G116" s="252">
        <f t="shared" si="119"/>
        <v>53293.72</v>
      </c>
      <c r="H116" s="252">
        <f t="shared" si="119"/>
        <v>49813.97</v>
      </c>
      <c r="I116" s="252">
        <f t="shared" si="119"/>
        <v>53120.7</v>
      </c>
      <c r="J116" s="252">
        <f t="shared" si="119"/>
        <v>63707.27</v>
      </c>
      <c r="K116" s="252">
        <f t="shared" si="119"/>
        <v>60150.049999999996</v>
      </c>
      <c r="L116" s="252">
        <f t="shared" si="119"/>
        <v>62611.98</v>
      </c>
      <c r="M116" s="252">
        <f t="shared" si="119"/>
        <v>72794.19</v>
      </c>
      <c r="N116" s="252">
        <f t="shared" si="119"/>
        <v>88045.88</v>
      </c>
      <c r="O116" s="252">
        <f t="shared" si="119"/>
        <v>101528.92</v>
      </c>
      <c r="P116" s="252">
        <f t="shared" si="119"/>
        <v>118575.62999999999</v>
      </c>
      <c r="Q116" s="252">
        <f t="shared" si="119"/>
        <v>140283.47</v>
      </c>
      <c r="R116" s="252">
        <f t="shared" si="119"/>
        <v>166170.71</v>
      </c>
      <c r="S116" s="252">
        <f t="shared" si="119"/>
        <v>137804.33777300001</v>
      </c>
      <c r="T116" s="252">
        <f t="shared" si="119"/>
        <v>177935.50999999998</v>
      </c>
      <c r="U116" s="252"/>
      <c r="V116" s="252" t="s">
        <v>9</v>
      </c>
      <c r="W116" s="39"/>
      <c r="X116" s="40">
        <f t="shared" si="117"/>
        <v>14.68343635821936</v>
      </c>
      <c r="Y116" s="40">
        <f t="shared" si="117"/>
        <v>21.256278572812537</v>
      </c>
      <c r="Z116" s="40">
        <f t="shared" si="117"/>
        <v>25.95283209058341</v>
      </c>
      <c r="AA116" s="40">
        <f t="shared" si="117"/>
        <v>-1.2378596136778497</v>
      </c>
      <c r="AB116" s="40">
        <f t="shared" si="117"/>
        <v>4.0026465575351056</v>
      </c>
      <c r="AC116" s="40">
        <f t="shared" si="117"/>
        <v>-6.529380947698904</v>
      </c>
      <c r="AD116" s="253">
        <f t="shared" si="117"/>
        <v>6.638157930395816</v>
      </c>
      <c r="AE116" s="253">
        <f t="shared" si="117"/>
        <v>19.929274275376653</v>
      </c>
      <c r="AF116" s="253">
        <f t="shared" si="117"/>
        <v>-5.5836955499741219</v>
      </c>
      <c r="AG116" s="253">
        <f t="shared" si="117"/>
        <v>4.0929808038397519</v>
      </c>
      <c r="AH116" s="253">
        <f t="shared" si="117"/>
        <v>16.262398984986582</v>
      </c>
      <c r="AI116" s="253">
        <f t="shared" si="117"/>
        <v>20.951795740841405</v>
      </c>
      <c r="AJ116" s="253">
        <f t="shared" si="113"/>
        <v>15.313652382144394</v>
      </c>
      <c r="AK116" s="253">
        <f t="shared" si="113"/>
        <v>16.79000426676458</v>
      </c>
      <c r="AL116" s="253">
        <f>((Q116/P116)-1)*100</f>
        <v>18.307168176125231</v>
      </c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79"/>
      <c r="BB116" s="253">
        <f t="shared" si="92"/>
        <v>18.453521288003483</v>
      </c>
      <c r="BC116" s="306">
        <f t="shared" si="92"/>
        <v>-17.07062106613132</v>
      </c>
      <c r="BD116" s="253">
        <f t="shared" si="92"/>
        <v>29.121849773050368</v>
      </c>
      <c r="BE116" s="253">
        <f t="shared" si="92"/>
        <v>-100</v>
      </c>
      <c r="BF116" s="253" t="s">
        <v>9</v>
      </c>
      <c r="BH116" s="262">
        <f t="shared" si="93"/>
        <v>0</v>
      </c>
      <c r="BI116" s="263">
        <f t="shared" si="115"/>
        <v>0</v>
      </c>
    </row>
    <row r="117" spans="1:61" ht="11.7" customHeight="1">
      <c r="A117" s="82" t="s">
        <v>29</v>
      </c>
      <c r="B117" s="34">
        <v>2986.1395899053628</v>
      </c>
      <c r="C117" s="34">
        <v>3352.1431395808622</v>
      </c>
      <c r="D117" s="34">
        <v>4236.1026463512426</v>
      </c>
      <c r="E117" s="34">
        <v>4840.382927802154</v>
      </c>
      <c r="F117" s="34">
        <v>4698.782505910166</v>
      </c>
      <c r="G117" s="34">
        <v>5040.43</v>
      </c>
      <c r="H117" s="34">
        <v>4676.1000000000004</v>
      </c>
      <c r="I117" s="34">
        <v>5342.75</v>
      </c>
      <c r="J117" s="34">
        <v>5916.97</v>
      </c>
      <c r="K117" s="34">
        <v>5033.18</v>
      </c>
      <c r="L117" s="34">
        <v>5544.36</v>
      </c>
      <c r="M117" s="34">
        <v>7245.81</v>
      </c>
      <c r="N117" s="34">
        <v>8456.9599999999991</v>
      </c>
      <c r="O117" s="34">
        <v>9408.74</v>
      </c>
      <c r="P117" s="34">
        <v>11144.79</v>
      </c>
      <c r="Q117" s="34">
        <v>13581.5</v>
      </c>
      <c r="R117" s="105">
        <v>11604.48</v>
      </c>
      <c r="S117" s="34">
        <v>14622.195416</v>
      </c>
      <c r="T117" s="34">
        <v>17371.18</v>
      </c>
      <c r="U117" s="34"/>
      <c r="V117" s="34" t="s">
        <v>9</v>
      </c>
      <c r="W117" s="35"/>
      <c r="X117" s="36">
        <f t="shared" si="117"/>
        <v>12.256746165275523</v>
      </c>
      <c r="Y117" s="36">
        <f t="shared" si="117"/>
        <v>26.369980933478487</v>
      </c>
      <c r="Z117" s="36">
        <f t="shared" si="117"/>
        <v>14.265005640772355</v>
      </c>
      <c r="AA117" s="36">
        <f t="shared" si="117"/>
        <v>-2.9253971019248204</v>
      </c>
      <c r="AB117" s="36">
        <f t="shared" si="117"/>
        <v>7.2709791027804949</v>
      </c>
      <c r="AC117" s="36">
        <f t="shared" si="117"/>
        <v>-7.2281531535999921</v>
      </c>
      <c r="AD117" s="37">
        <f t="shared" si="117"/>
        <v>14.25653856846516</v>
      </c>
      <c r="AE117" s="37">
        <f t="shared" si="117"/>
        <v>10.747648682794452</v>
      </c>
      <c r="AF117" s="37">
        <f>((K117/J117)-1)*100</f>
        <v>-14.936530014517569</v>
      </c>
      <c r="AG117" s="37">
        <f t="shared" si="117"/>
        <v>10.156203434011889</v>
      </c>
      <c r="AH117" s="37">
        <f t="shared" si="117"/>
        <v>30.687942341406416</v>
      </c>
      <c r="AI117" s="37">
        <f t="shared" si="117"/>
        <v>16.715177461180986</v>
      </c>
      <c r="AJ117" s="37">
        <f t="shared" si="113"/>
        <v>11.254398743756621</v>
      </c>
      <c r="AK117" s="37">
        <f t="shared" si="113"/>
        <v>18.451461088307262</v>
      </c>
      <c r="AL117" s="37">
        <f t="shared" si="113"/>
        <v>21.864117672921601</v>
      </c>
      <c r="AN117" s="37">
        <f t="shared" ref="AN117:AZ120" si="120">+(C117/C$120)*100</f>
        <v>8.9810176843691796</v>
      </c>
      <c r="AO117" s="37">
        <f t="shared" si="120"/>
        <v>9.3244545717762115</v>
      </c>
      <c r="AP117" s="37">
        <f t="shared" si="120"/>
        <v>8.5330226155713138</v>
      </c>
      <c r="AQ117" s="37">
        <f t="shared" si="120"/>
        <v>8.3994664826311389</v>
      </c>
      <c r="AR117" s="37">
        <f t="shared" si="120"/>
        <v>8.6406161742307042</v>
      </c>
      <c r="AS117" s="37">
        <f t="shared" si="120"/>
        <v>8.5815635766296516</v>
      </c>
      <c r="AT117" s="37">
        <f t="shared" si="120"/>
        <v>9.1386156650009536</v>
      </c>
      <c r="AU117" s="37">
        <f t="shared" si="120"/>
        <v>8.4984338787755522</v>
      </c>
      <c r="AV117" s="37">
        <f t="shared" si="120"/>
        <v>7.7215872855640955</v>
      </c>
      <c r="AW117" s="37">
        <f t="shared" si="120"/>
        <v>8.1347678000315149</v>
      </c>
      <c r="AX117" s="37">
        <f t="shared" si="120"/>
        <v>9.0527361319340329</v>
      </c>
      <c r="AY117" s="37">
        <f t="shared" si="120"/>
        <v>8.7634312109363819</v>
      </c>
      <c r="AZ117" s="37">
        <f t="shared" si="120"/>
        <v>8.4811055145745833</v>
      </c>
      <c r="BA117" s="79"/>
      <c r="BB117" s="37">
        <f t="shared" si="92"/>
        <v>-14.556713176011494</v>
      </c>
      <c r="BC117" s="73">
        <f t="shared" si="92"/>
        <v>26.004744857158624</v>
      </c>
      <c r="BD117" s="37">
        <f t="shared" si="92"/>
        <v>18.800081012403822</v>
      </c>
      <c r="BE117" s="37">
        <f t="shared" si="92"/>
        <v>-100</v>
      </c>
      <c r="BF117" s="37" t="s">
        <v>9</v>
      </c>
      <c r="BH117" s="262">
        <f t="shared" si="93"/>
        <v>0</v>
      </c>
      <c r="BI117" s="263">
        <f t="shared" si="115"/>
        <v>0</v>
      </c>
    </row>
    <row r="118" spans="1:61" ht="11.7" customHeight="1">
      <c r="A118" s="84" t="s">
        <v>30</v>
      </c>
      <c r="B118" s="38">
        <f t="shared" ref="B118:T118" si="121">+B113+B115+B117</f>
        <v>8567.578042076042</v>
      </c>
      <c r="C118" s="38">
        <f t="shared" si="121"/>
        <v>10218.490415836251</v>
      </c>
      <c r="D118" s="38">
        <f t="shared" si="121"/>
        <v>12597.808008467442</v>
      </c>
      <c r="E118" s="38">
        <f t="shared" si="121"/>
        <v>14903.98327911189</v>
      </c>
      <c r="F118" s="38">
        <f t="shared" si="121"/>
        <v>14275.834027641526</v>
      </c>
      <c r="G118" s="38">
        <f t="shared" si="121"/>
        <v>15268.62</v>
      </c>
      <c r="H118" s="38">
        <f t="shared" si="121"/>
        <v>13864.1</v>
      </c>
      <c r="I118" s="38">
        <f t="shared" si="121"/>
        <v>16166.57</v>
      </c>
      <c r="J118" s="38">
        <f t="shared" si="121"/>
        <v>18445.57</v>
      </c>
      <c r="K118" s="38">
        <f>+K113+K115+K117</f>
        <v>15910.2</v>
      </c>
      <c r="L118" s="38">
        <f>+L113+L115+L117</f>
        <v>18059.79</v>
      </c>
      <c r="M118" s="38">
        <f>+M113+M115+M117</f>
        <v>21873.52</v>
      </c>
      <c r="N118" s="38">
        <f>+N113+N115+N117</f>
        <v>25879.439999999999</v>
      </c>
      <c r="O118" s="38">
        <f t="shared" si="121"/>
        <v>28816.509999999995</v>
      </c>
      <c r="P118" s="38">
        <f t="shared" si="121"/>
        <v>34437.58</v>
      </c>
      <c r="Q118" s="38">
        <f t="shared" si="121"/>
        <v>43326.03</v>
      </c>
      <c r="R118" s="38">
        <f t="shared" si="121"/>
        <v>38679.509999999995</v>
      </c>
      <c r="S118" s="38">
        <f t="shared" si="121"/>
        <v>43212.790348000002</v>
      </c>
      <c r="T118" s="38">
        <f t="shared" si="121"/>
        <v>52203.700000000004</v>
      </c>
      <c r="U118" s="38"/>
      <c r="V118" s="38" t="s">
        <v>9</v>
      </c>
      <c r="W118" s="39"/>
      <c r="X118" s="40">
        <f t="shared" si="117"/>
        <v>19.269300678119894</v>
      </c>
      <c r="Y118" s="40">
        <f t="shared" si="117"/>
        <v>23.284433373287783</v>
      </c>
      <c r="Z118" s="40">
        <f t="shared" si="117"/>
        <v>18.306163017362898</v>
      </c>
      <c r="AA118" s="40">
        <f t="shared" si="117"/>
        <v>-4.2146400710924237</v>
      </c>
      <c r="AB118" s="40">
        <f t="shared" si="117"/>
        <v>6.9543115339965267</v>
      </c>
      <c r="AC118" s="40">
        <f t="shared" si="117"/>
        <v>-9.1987357076147021</v>
      </c>
      <c r="AD118" s="253">
        <f t="shared" si="117"/>
        <v>16.607424932018656</v>
      </c>
      <c r="AE118" s="253">
        <f t="shared" si="117"/>
        <v>14.096991507784274</v>
      </c>
      <c r="AF118" s="253">
        <f>((K118/J118)-1)*100</f>
        <v>-13.745143142770866</v>
      </c>
      <c r="AG118" s="253">
        <f t="shared" si="117"/>
        <v>13.510766677980168</v>
      </c>
      <c r="AH118" s="253">
        <f t="shared" si="117"/>
        <v>21.117244441934258</v>
      </c>
      <c r="AI118" s="253">
        <f t="shared" si="117"/>
        <v>18.314016216868612</v>
      </c>
      <c r="AJ118" s="253">
        <f t="shared" si="113"/>
        <v>11.349047738281804</v>
      </c>
      <c r="AK118" s="253">
        <f t="shared" si="113"/>
        <v>19.506421839424725</v>
      </c>
      <c r="AL118" s="253">
        <f t="shared" si="113"/>
        <v>25.810321166586036</v>
      </c>
      <c r="AN118" s="37">
        <f t="shared" si="120"/>
        <v>27.37724473891565</v>
      </c>
      <c r="AO118" s="37">
        <f t="shared" si="120"/>
        <v>27.730132691683885</v>
      </c>
      <c r="AP118" s="37">
        <f t="shared" si="120"/>
        <v>26.273959783695172</v>
      </c>
      <c r="AQ118" s="37">
        <f t="shared" si="120"/>
        <v>25.519246586952494</v>
      </c>
      <c r="AR118" s="37">
        <f t="shared" si="120"/>
        <v>26.174410701107327</v>
      </c>
      <c r="AS118" s="37">
        <f t="shared" si="120"/>
        <v>25.443351421644351</v>
      </c>
      <c r="AT118" s="37">
        <f t="shared" si="120"/>
        <v>27.652439259058436</v>
      </c>
      <c r="AU118" s="37">
        <f t="shared" si="120"/>
        <v>26.493028864659777</v>
      </c>
      <c r="AV118" s="37">
        <f t="shared" si="120"/>
        <v>24.408425295892826</v>
      </c>
      <c r="AW118" s="37">
        <f t="shared" si="120"/>
        <v>26.497593620784215</v>
      </c>
      <c r="AX118" s="37">
        <f t="shared" si="120"/>
        <v>27.328235882058969</v>
      </c>
      <c r="AY118" s="37">
        <f t="shared" si="120"/>
        <v>26.817283304822947</v>
      </c>
      <c r="AZ118" s="37">
        <f t="shared" si="120"/>
        <v>25.975408170678914</v>
      </c>
      <c r="BA118" s="79"/>
      <c r="BB118" s="253">
        <f t="shared" si="92"/>
        <v>-10.724545960015275</v>
      </c>
      <c r="BC118" s="306">
        <f t="shared" si="92"/>
        <v>11.720108005504738</v>
      </c>
      <c r="BD118" s="253">
        <f t="shared" si="92"/>
        <v>20.806130730264492</v>
      </c>
      <c r="BE118" s="253">
        <f t="shared" si="92"/>
        <v>-100</v>
      </c>
      <c r="BF118" s="253" t="s">
        <v>9</v>
      </c>
      <c r="BH118" s="262" t="s">
        <v>9</v>
      </c>
      <c r="BI118" s="263"/>
    </row>
    <row r="119" spans="1:61" ht="11.7" customHeight="1">
      <c r="A119" s="84" t="s">
        <v>31</v>
      </c>
      <c r="B119" s="38">
        <f t="shared" ref="B119:T119" si="122">+B118+B111</f>
        <v>17099.144834034905</v>
      </c>
      <c r="C119" s="38">
        <f t="shared" si="122"/>
        <v>20489.488793149299</v>
      </c>
      <c r="D119" s="38">
        <f t="shared" si="122"/>
        <v>24470.582748010544</v>
      </c>
      <c r="E119" s="38">
        <f t="shared" si="122"/>
        <v>29574.178136062521</v>
      </c>
      <c r="F119" s="38">
        <f t="shared" si="122"/>
        <v>28157.026372080294</v>
      </c>
      <c r="G119" s="38">
        <f t="shared" si="122"/>
        <v>30244.230000000003</v>
      </c>
      <c r="H119" s="38">
        <f t="shared" si="122"/>
        <v>27572.559999999998</v>
      </c>
      <c r="I119" s="38">
        <f t="shared" si="122"/>
        <v>31366.85</v>
      </c>
      <c r="J119" s="38">
        <f t="shared" si="122"/>
        <v>36949.53</v>
      </c>
      <c r="K119" s="38">
        <f>+K118+K111</f>
        <v>32463.43</v>
      </c>
      <c r="L119" s="38">
        <f>+L118+L111</f>
        <v>36066.47</v>
      </c>
      <c r="M119" s="38">
        <f>+M118+M111</f>
        <v>41951.03</v>
      </c>
      <c r="N119" s="38">
        <f>+N118+N111</f>
        <v>50606.879999999997</v>
      </c>
      <c r="O119" s="38">
        <f t="shared" si="122"/>
        <v>59009.369999999995</v>
      </c>
      <c r="P119" s="38">
        <f t="shared" si="122"/>
        <v>69378.350000000006</v>
      </c>
      <c r="Q119" s="38">
        <f t="shared" si="122"/>
        <v>82918.47</v>
      </c>
      <c r="R119" s="38">
        <f t="shared" si="122"/>
        <v>88614.09</v>
      </c>
      <c r="S119" s="68">
        <f t="shared" si="122"/>
        <v>84303.280094000002</v>
      </c>
      <c r="T119" s="68">
        <f t="shared" si="122"/>
        <v>102279.19</v>
      </c>
      <c r="U119" s="68"/>
      <c r="V119" s="68" t="s">
        <v>9</v>
      </c>
      <c r="W119" s="39"/>
      <c r="X119" s="40">
        <f t="shared" si="117"/>
        <v>19.827564430977283</v>
      </c>
      <c r="Y119" s="40">
        <f t="shared" si="117"/>
        <v>19.429933050317636</v>
      </c>
      <c r="Z119" s="40">
        <f t="shared" si="117"/>
        <v>20.856043522162949</v>
      </c>
      <c r="AA119" s="40">
        <f t="shared" si="117"/>
        <v>-4.7918551023203637</v>
      </c>
      <c r="AB119" s="40">
        <f t="shared" si="117"/>
        <v>7.4127274675187982</v>
      </c>
      <c r="AC119" s="40">
        <f>((H119/G119)-1)*100</f>
        <v>-8.8336519064958985</v>
      </c>
      <c r="AD119" s="253">
        <f t="shared" si="117"/>
        <v>13.761108870558258</v>
      </c>
      <c r="AE119" s="253">
        <f t="shared" si="117"/>
        <v>17.798025622592007</v>
      </c>
      <c r="AF119" s="253">
        <f>((K119/J119)-1)*100</f>
        <v>-12.141155787367254</v>
      </c>
      <c r="AG119" s="253">
        <f t="shared" si="117"/>
        <v>11.098765595625594</v>
      </c>
      <c r="AH119" s="253">
        <f t="shared" si="117"/>
        <v>16.315874550517417</v>
      </c>
      <c r="AI119" s="253">
        <f t="shared" si="117"/>
        <v>20.633224023343399</v>
      </c>
      <c r="AJ119" s="253">
        <f t="shared" si="113"/>
        <v>16.603453917728174</v>
      </c>
      <c r="AK119" s="253">
        <f t="shared" si="113"/>
        <v>17.571751740443943</v>
      </c>
      <c r="AL119" s="253">
        <f t="shared" si="113"/>
        <v>19.516347679067025</v>
      </c>
      <c r="AN119" s="37">
        <f t="shared" si="120"/>
        <v>54.895168115633219</v>
      </c>
      <c r="AO119" s="37">
        <f t="shared" si="120"/>
        <v>53.864331492357223</v>
      </c>
      <c r="AP119" s="37">
        <f t="shared" si="120"/>
        <v>52.135778229955591</v>
      </c>
      <c r="AQ119" s="37">
        <f t="shared" si="120"/>
        <v>50.333038178586229</v>
      </c>
      <c r="AR119" s="37">
        <f t="shared" si="120"/>
        <v>51.846525577213356</v>
      </c>
      <c r="AS119" s="37">
        <f t="shared" si="120"/>
        <v>50.601072819322859</v>
      </c>
      <c r="AT119" s="37">
        <f t="shared" si="120"/>
        <v>53.652068086984258</v>
      </c>
      <c r="AU119" s="37">
        <f t="shared" si="120"/>
        <v>53.069922199509826</v>
      </c>
      <c r="AV119" s="37">
        <f t="shared" si="120"/>
        <v>49.803346658335286</v>
      </c>
      <c r="AW119" s="37">
        <f t="shared" si="120"/>
        <v>52.917263456341701</v>
      </c>
      <c r="AX119" s="37">
        <f t="shared" si="120"/>
        <v>52.412581209395306</v>
      </c>
      <c r="AY119" s="37">
        <f t="shared" si="120"/>
        <v>52.440819358269664</v>
      </c>
      <c r="AZ119" s="37">
        <f t="shared" si="120"/>
        <v>53.191468073150276</v>
      </c>
      <c r="BA119" s="79"/>
      <c r="BB119" s="253">
        <f t="shared" si="92"/>
        <v>6.8689400564192704</v>
      </c>
      <c r="BC119" s="306">
        <f t="shared" si="92"/>
        <v>-4.8647003044323895</v>
      </c>
      <c r="BD119" s="253">
        <f t="shared" si="92"/>
        <v>21.322906873797166</v>
      </c>
      <c r="BE119" s="253">
        <f t="shared" si="92"/>
        <v>-100</v>
      </c>
      <c r="BF119" s="253" t="s">
        <v>9</v>
      </c>
      <c r="BH119" s="262" t="s">
        <v>9</v>
      </c>
      <c r="BI119" s="263"/>
    </row>
    <row r="120" spans="1:61" ht="11.7" customHeight="1">
      <c r="A120" s="85" t="s">
        <v>32</v>
      </c>
      <c r="B120" s="64">
        <v>32609.087937803528</v>
      </c>
      <c r="C120" s="64">
        <v>37324.758255570836</v>
      </c>
      <c r="D120" s="64">
        <v>45430.031469865477</v>
      </c>
      <c r="E120" s="64">
        <v>56725.302930397469</v>
      </c>
      <c r="F120" s="64">
        <v>55941.440038204295</v>
      </c>
      <c r="G120" s="64">
        <v>58334.15</v>
      </c>
      <c r="H120" s="64">
        <v>54490.07</v>
      </c>
      <c r="I120" s="64">
        <v>58463.45</v>
      </c>
      <c r="J120" s="64">
        <v>69624.240000000005</v>
      </c>
      <c r="K120" s="64">
        <f>+K105+K111+K118</f>
        <v>65183.229999999996</v>
      </c>
      <c r="L120" s="64">
        <f>+L105+L111+L118</f>
        <v>68156.34</v>
      </c>
      <c r="M120" s="64">
        <f>+M105+M111+M118</f>
        <v>80040</v>
      </c>
      <c r="N120" s="64">
        <f>+N105+N111+N118</f>
        <v>96502.84</v>
      </c>
      <c r="O120" s="64">
        <f>+O119+O105</f>
        <v>110937.65999999999</v>
      </c>
      <c r="P120" s="64">
        <f>+P119+P105</f>
        <v>129720.42000000001</v>
      </c>
      <c r="Q120" s="64">
        <f>+Q119+Q105</f>
        <v>153864.97</v>
      </c>
      <c r="R120" s="64">
        <f>+R119+R105</f>
        <v>177775.19</v>
      </c>
      <c r="S120" s="64">
        <f>+S105+S111+S118</f>
        <v>152426.53318900001</v>
      </c>
      <c r="T120" s="64">
        <f>+T105+T111+T118</f>
        <v>195306.69</v>
      </c>
      <c r="U120" s="64">
        <f>U94+U95+U97+U99+U101+U103+U106+U108</f>
        <v>153567.81</v>
      </c>
      <c r="V120" s="64">
        <f>V94+V95+V97+V99+V101+V103+V106+V108</f>
        <v>151559.25</v>
      </c>
      <c r="W120" s="39"/>
      <c r="X120" s="65">
        <f t="shared" si="117"/>
        <v>14.461215004730189</v>
      </c>
      <c r="Y120" s="65">
        <f t="shared" si="117"/>
        <v>21.715541086149969</v>
      </c>
      <c r="Z120" s="65">
        <f t="shared" si="117"/>
        <v>24.863006022842704</v>
      </c>
      <c r="AA120" s="65">
        <f t="shared" si="117"/>
        <v>-1.3818575691962098</v>
      </c>
      <c r="AB120" s="65">
        <f t="shared" si="117"/>
        <v>4.277169054213914</v>
      </c>
      <c r="AC120" s="65">
        <f>((H120/G120)-1)*100</f>
        <v>-6.5897591719430215</v>
      </c>
      <c r="AD120" s="254">
        <f t="shared" si="117"/>
        <v>7.2919341083613975</v>
      </c>
      <c r="AE120" s="254">
        <f t="shared" si="117"/>
        <v>19.090200800671209</v>
      </c>
      <c r="AF120" s="254">
        <f>((K120/J120)-1)*100</f>
        <v>-6.3785400027346899</v>
      </c>
      <c r="AG120" s="254">
        <f t="shared" si="117"/>
        <v>4.5611578315465584</v>
      </c>
      <c r="AH120" s="254">
        <f t="shared" si="117"/>
        <v>17.435883440924215</v>
      </c>
      <c r="AI120" s="254">
        <f t="shared" si="117"/>
        <v>20.568265867066458</v>
      </c>
      <c r="AJ120" s="254">
        <f t="shared" si="113"/>
        <v>14.957922481866849</v>
      </c>
      <c r="AK120" s="254">
        <f t="shared" si="113"/>
        <v>16.93091417287873</v>
      </c>
      <c r="AL120" s="254">
        <f t="shared" si="113"/>
        <v>18.612759656498177</v>
      </c>
      <c r="AN120" s="69">
        <f t="shared" si="120"/>
        <v>100</v>
      </c>
      <c r="AO120" s="69">
        <f t="shared" si="120"/>
        <v>100</v>
      </c>
      <c r="AP120" s="69">
        <f t="shared" si="120"/>
        <v>100</v>
      </c>
      <c r="AQ120" s="69">
        <f t="shared" si="120"/>
        <v>100</v>
      </c>
      <c r="AR120" s="69">
        <f t="shared" si="120"/>
        <v>100</v>
      </c>
      <c r="AS120" s="69">
        <f t="shared" si="120"/>
        <v>100</v>
      </c>
      <c r="AT120" s="69">
        <f t="shared" si="120"/>
        <v>100</v>
      </c>
      <c r="AU120" s="69">
        <f t="shared" si="120"/>
        <v>100</v>
      </c>
      <c r="AV120" s="69">
        <f t="shared" si="120"/>
        <v>100</v>
      </c>
      <c r="AW120" s="69">
        <f t="shared" si="120"/>
        <v>100</v>
      </c>
      <c r="AX120" s="69">
        <f t="shared" si="120"/>
        <v>100</v>
      </c>
      <c r="AY120" s="69">
        <f t="shared" si="120"/>
        <v>100</v>
      </c>
      <c r="AZ120" s="69">
        <f t="shared" si="120"/>
        <v>100</v>
      </c>
      <c r="BA120" s="80"/>
      <c r="BB120" s="254">
        <f t="shared" si="92"/>
        <v>15.539742411804337</v>
      </c>
      <c r="BC120" s="308">
        <f t="shared" si="92"/>
        <v>-14.258827011238173</v>
      </c>
      <c r="BD120" s="254">
        <f t="shared" si="92"/>
        <v>28.13168804267896</v>
      </c>
      <c r="BE120" s="254">
        <f t="shared" si="92"/>
        <v>-21.370942285694362</v>
      </c>
      <c r="BF120" s="254">
        <f t="shared" si="92"/>
        <v>-1.3079303533728881</v>
      </c>
      <c r="BH120" s="262">
        <f>+U120</f>
        <v>153567.81</v>
      </c>
      <c r="BI120" s="263">
        <f t="shared" ref="BI120" si="123">+BH120/BH$120</f>
        <v>1</v>
      </c>
    </row>
    <row r="121" spans="1:61" ht="12.45" customHeight="1">
      <c r="A121" s="384" t="s">
        <v>33</v>
      </c>
      <c r="B121" s="384"/>
      <c r="C121" s="384"/>
      <c r="D121" s="384"/>
      <c r="E121" s="384"/>
      <c r="F121" s="384"/>
      <c r="G121" s="384"/>
      <c r="H121" s="384"/>
      <c r="I121" s="384"/>
      <c r="J121" s="384"/>
      <c r="K121" s="384"/>
      <c r="L121" s="384"/>
      <c r="M121" s="384"/>
      <c r="N121" s="384"/>
      <c r="O121" s="384"/>
      <c r="P121" s="384"/>
      <c r="Q121" s="384"/>
      <c r="R121" s="384"/>
      <c r="S121" s="384"/>
      <c r="T121" s="384"/>
      <c r="U121" s="384"/>
      <c r="V121" s="384"/>
      <c r="W121" s="14"/>
      <c r="X121" s="15"/>
      <c r="Y121" s="15"/>
      <c r="Z121" s="14"/>
      <c r="AA121" s="22" t="s">
        <v>1</v>
      </c>
      <c r="AB121" s="22" t="s">
        <v>1</v>
      </c>
      <c r="AC121" s="13"/>
      <c r="AD121" s="22" t="s">
        <v>1</v>
      </c>
      <c r="AE121" s="2"/>
      <c r="AF121" s="384" t="s">
        <v>1</v>
      </c>
      <c r="AG121" s="384"/>
      <c r="AH121" s="384"/>
      <c r="AI121" s="384"/>
      <c r="AJ121" s="384"/>
      <c r="AK121" s="384"/>
      <c r="AL121" s="384"/>
      <c r="AM121" s="384"/>
      <c r="AN121" s="384"/>
      <c r="AO121" s="384"/>
      <c r="AP121" s="384"/>
      <c r="AQ121" s="384"/>
      <c r="AR121" s="384"/>
      <c r="AS121" s="384"/>
      <c r="AT121" s="384"/>
      <c r="AU121" s="384"/>
      <c r="AV121" s="384"/>
      <c r="AW121" s="384"/>
      <c r="AX121" s="384"/>
      <c r="AY121" s="384"/>
      <c r="AZ121" s="384"/>
      <c r="BA121" s="384"/>
      <c r="BB121" s="384"/>
      <c r="BC121" s="384"/>
      <c r="BD121" s="384"/>
      <c r="BE121" s="384"/>
      <c r="BF121" s="384"/>
    </row>
    <row r="122" spans="1:61" ht="11.7" customHeight="1">
      <c r="B122" s="1"/>
      <c r="E122" s="3"/>
      <c r="G122" s="4"/>
      <c r="H122" s="4"/>
      <c r="I122" s="4"/>
      <c r="J122" s="4"/>
      <c r="K122" s="17"/>
      <c r="L122" s="17"/>
      <c r="M122" s="17"/>
      <c r="O122" s="17"/>
      <c r="P122" s="17"/>
      <c r="S122" s="17"/>
      <c r="U122" s="17"/>
      <c r="V122" s="17" t="s">
        <v>37</v>
      </c>
      <c r="W122" s="17"/>
      <c r="X122" s="10"/>
      <c r="Y122" s="10"/>
      <c r="Z122" s="10"/>
      <c r="AA122" s="11"/>
      <c r="AB122" s="10"/>
      <c r="AC122" s="12"/>
      <c r="AD122" s="12"/>
      <c r="AE122" s="12"/>
      <c r="AF122" s="12"/>
      <c r="AG122" s="17"/>
      <c r="AH122" s="17"/>
      <c r="AI122" s="17"/>
      <c r="AK122" s="17"/>
      <c r="AL122" s="17"/>
      <c r="AM122" s="17"/>
      <c r="AS122" s="4"/>
      <c r="AT122" s="4"/>
      <c r="AU122" s="4"/>
      <c r="AV122" s="4"/>
      <c r="AW122" s="17"/>
      <c r="AX122" s="17"/>
      <c r="AY122" s="17"/>
      <c r="AZ122" s="17"/>
      <c r="BA122" s="17" t="s">
        <v>3</v>
      </c>
      <c r="BB122" s="17"/>
      <c r="BC122" s="17"/>
      <c r="BE122" s="17"/>
      <c r="BF122" s="17" t="s">
        <v>3</v>
      </c>
    </row>
    <row r="123" spans="1:61" ht="11.7" customHeight="1">
      <c r="A123" s="81"/>
      <c r="B123" s="75">
        <v>2535</v>
      </c>
      <c r="C123" s="25">
        <v>2536</v>
      </c>
      <c r="D123" s="25">
        <v>2537</v>
      </c>
      <c r="E123" s="25">
        <v>2538</v>
      </c>
      <c r="F123" s="25">
        <v>2539</v>
      </c>
      <c r="G123" s="25">
        <v>2540</v>
      </c>
      <c r="H123" s="25">
        <v>2541</v>
      </c>
      <c r="I123" s="25">
        <v>2542</v>
      </c>
      <c r="J123" s="25">
        <v>2543</v>
      </c>
      <c r="K123" s="25">
        <v>2544</v>
      </c>
      <c r="L123" s="25">
        <v>2545</v>
      </c>
      <c r="M123" s="75">
        <v>2546</v>
      </c>
      <c r="N123" s="75">
        <v>2547</v>
      </c>
      <c r="O123" s="75">
        <v>2548</v>
      </c>
      <c r="P123" s="75">
        <v>2549</v>
      </c>
      <c r="Q123" s="75">
        <v>2550</v>
      </c>
      <c r="R123" s="107">
        <v>2551</v>
      </c>
      <c r="S123" s="75">
        <v>2552</v>
      </c>
      <c r="T123" s="107">
        <v>2553</v>
      </c>
      <c r="U123" s="107">
        <v>2554</v>
      </c>
      <c r="V123" s="107">
        <v>2555</v>
      </c>
      <c r="W123" s="21"/>
      <c r="X123" s="20">
        <v>2536</v>
      </c>
      <c r="Y123" s="20">
        <v>2537</v>
      </c>
      <c r="Z123" s="20">
        <v>2538</v>
      </c>
      <c r="AA123" s="20">
        <v>2539</v>
      </c>
      <c r="AB123" s="20">
        <v>2540</v>
      </c>
      <c r="AC123" s="20">
        <v>2541</v>
      </c>
      <c r="AD123" s="25">
        <v>2542</v>
      </c>
      <c r="AE123" s="25">
        <v>2543</v>
      </c>
      <c r="AF123" s="25">
        <v>2544</v>
      </c>
      <c r="AG123" s="25">
        <v>2545</v>
      </c>
      <c r="AH123" s="75">
        <v>2546</v>
      </c>
      <c r="AI123" s="75">
        <v>2547</v>
      </c>
      <c r="AJ123" s="75">
        <v>2548</v>
      </c>
      <c r="AK123" s="75">
        <v>2549</v>
      </c>
      <c r="AL123" s="75">
        <v>2550</v>
      </c>
      <c r="AM123" s="108"/>
      <c r="AN123" s="19">
        <v>2536</v>
      </c>
      <c r="AO123" s="19">
        <v>2537</v>
      </c>
      <c r="AP123" s="19">
        <v>2538</v>
      </c>
      <c r="AQ123" s="19">
        <v>2539</v>
      </c>
      <c r="AR123" s="19">
        <v>2540</v>
      </c>
      <c r="AS123" s="19">
        <v>2541</v>
      </c>
      <c r="AT123" s="19">
        <v>2542</v>
      </c>
      <c r="AU123" s="19">
        <v>2543</v>
      </c>
      <c r="AV123" s="19">
        <v>2544</v>
      </c>
      <c r="AW123" s="19">
        <v>2545</v>
      </c>
      <c r="AX123" s="19">
        <v>2546</v>
      </c>
      <c r="AY123" s="109">
        <v>2547</v>
      </c>
      <c r="AZ123" s="75">
        <v>2548</v>
      </c>
      <c r="BA123" s="75">
        <v>2549</v>
      </c>
      <c r="BB123" s="107">
        <v>2551</v>
      </c>
      <c r="BC123" s="107">
        <v>2552</v>
      </c>
      <c r="BD123" s="107">
        <v>2553</v>
      </c>
      <c r="BE123" s="107">
        <v>2554</v>
      </c>
      <c r="BF123" s="107">
        <v>2555</v>
      </c>
    </row>
    <row r="124" spans="1:61" ht="11.7" customHeight="1">
      <c r="A124" s="82" t="s">
        <v>4</v>
      </c>
      <c r="B124" s="34">
        <v>3117.2788309636649</v>
      </c>
      <c r="C124" s="34">
        <v>3434.2504892367906</v>
      </c>
      <c r="D124" s="34">
        <v>3972.4236491777606</v>
      </c>
      <c r="E124" s="34">
        <v>5076.9129916567335</v>
      </c>
      <c r="F124" s="34">
        <v>6316.8992862807299</v>
      </c>
      <c r="G124" s="34">
        <v>6170.3023800234105</v>
      </c>
      <c r="H124" s="34">
        <v>3390.47</v>
      </c>
      <c r="I124" s="34">
        <v>3475.02</v>
      </c>
      <c r="J124" s="34">
        <v>4120.25</v>
      </c>
      <c r="K124" s="34">
        <v>5544.74</v>
      </c>
      <c r="L124" s="34">
        <v>5000.3900000000003</v>
      </c>
      <c r="M124" s="34">
        <v>5915.14</v>
      </c>
      <c r="N124" s="34">
        <v>6932.52</v>
      </c>
      <c r="O124" s="34">
        <v>9205.3889999999992</v>
      </c>
      <c r="P124" s="34">
        <v>9389.6</v>
      </c>
      <c r="Q124" s="34">
        <v>9802.9500000000007</v>
      </c>
      <c r="R124" s="105">
        <v>14613.93</v>
      </c>
      <c r="S124" s="34">
        <v>9118.7479879999992</v>
      </c>
      <c r="T124" s="33">
        <v>13207.76</v>
      </c>
      <c r="U124" s="33">
        <v>17602.510674000001</v>
      </c>
      <c r="V124" s="33">
        <v>16863.86</v>
      </c>
      <c r="W124" s="35"/>
      <c r="X124" s="36">
        <f t="shared" ref="X124:AL143" si="124">((C124/B124)-1)*100</f>
        <v>10.168216430454446</v>
      </c>
      <c r="Y124" s="36">
        <f t="shared" si="124"/>
        <v>15.670760232185943</v>
      </c>
      <c r="Z124" s="36">
        <f t="shared" si="124"/>
        <v>27.803916198806931</v>
      </c>
      <c r="AA124" s="36">
        <f t="shared" si="124"/>
        <v>24.424020987985372</v>
      </c>
      <c r="AB124" s="36">
        <f t="shared" si="124"/>
        <v>-2.3207098865056119</v>
      </c>
      <c r="AC124" s="36">
        <f t="shared" si="124"/>
        <v>-45.051801497171752</v>
      </c>
      <c r="AD124" s="37">
        <f t="shared" si="124"/>
        <v>2.4937545532035532</v>
      </c>
      <c r="AE124" s="37">
        <f t="shared" si="124"/>
        <v>18.567662919925642</v>
      </c>
      <c r="AF124" s="37">
        <f t="shared" si="124"/>
        <v>34.572902129725122</v>
      </c>
      <c r="AG124" s="37">
        <f>((L124/K124)-1)*100</f>
        <v>-9.8174125387303857</v>
      </c>
      <c r="AH124" s="37">
        <f>((M124/L124)-1)*100</f>
        <v>18.293573101298087</v>
      </c>
      <c r="AI124" s="37">
        <f>((N124/M124)-1)*100</f>
        <v>17.199592909043581</v>
      </c>
      <c r="AJ124" s="37">
        <f>((O124/N124)-1)*100</f>
        <v>32.785610427377044</v>
      </c>
      <c r="AK124" s="37">
        <f t="shared" ref="AK124:AL139" si="125">((P124/O124)-1)*100</f>
        <v>2.0011212997082639</v>
      </c>
      <c r="AL124" s="37">
        <f t="shared" si="125"/>
        <v>4.4022109568032652</v>
      </c>
      <c r="AN124" s="37">
        <f t="shared" ref="AN124:AZ125" si="126">+(C124/C$150)*100</f>
        <v>7.4405249742191133</v>
      </c>
      <c r="AO124" s="37">
        <f t="shared" si="126"/>
        <v>7.3094419127379071</v>
      </c>
      <c r="AP124" s="37">
        <f t="shared" si="126"/>
        <v>7.1791011663476327</v>
      </c>
      <c r="AQ124" s="37">
        <f t="shared" si="126"/>
        <v>8.7433920366511746</v>
      </c>
      <c r="AR124" s="37">
        <f t="shared" si="126"/>
        <v>9.7661259522697392</v>
      </c>
      <c r="AS124" s="37">
        <f t="shared" si="126"/>
        <v>7.9898978330347532</v>
      </c>
      <c r="AT124" s="37">
        <f t="shared" si="126"/>
        <v>6.9619226095099114</v>
      </c>
      <c r="AU124" s="37">
        <f t="shared" si="126"/>
        <v>6.6262862980251969</v>
      </c>
      <c r="AV124" s="37">
        <f t="shared" si="126"/>
        <v>8.9934969669651501</v>
      </c>
      <c r="AW124" s="37">
        <f t="shared" si="126"/>
        <v>7.7838772671693102</v>
      </c>
      <c r="AX124" s="37">
        <f t="shared" si="126"/>
        <v>7.8832806305515684</v>
      </c>
      <c r="AY124" s="37">
        <f t="shared" si="126"/>
        <v>7.372122620722747</v>
      </c>
      <c r="AZ124" s="37">
        <f t="shared" si="126"/>
        <v>7.7886305588885101</v>
      </c>
      <c r="BA124" s="79"/>
      <c r="BB124" s="37">
        <f t="shared" ref="BB124:BF150" si="127">((R124/Q124)-1)*100</f>
        <v>49.076859516778114</v>
      </c>
      <c r="BC124" s="37">
        <f t="shared" si="127"/>
        <v>-37.602356190292419</v>
      </c>
      <c r="BD124" s="115">
        <f t="shared" si="127"/>
        <v>44.841814001012196</v>
      </c>
      <c r="BE124" s="115">
        <f t="shared" si="127"/>
        <v>33.274004630611095</v>
      </c>
      <c r="BF124" s="115">
        <f t="shared" si="127"/>
        <v>-4.1962802220653295</v>
      </c>
    </row>
    <row r="125" spans="1:61" ht="11.7" customHeight="1">
      <c r="A125" s="82" t="s">
        <v>5</v>
      </c>
      <c r="B125" s="34">
        <v>2919.2250196695513</v>
      </c>
      <c r="C125" s="34">
        <v>3466.0290082320653</v>
      </c>
      <c r="D125" s="34">
        <v>3718.746081504702</v>
      </c>
      <c r="E125" s="34">
        <v>5043.10633213859</v>
      </c>
      <c r="F125" s="34">
        <v>5730.2716535433074</v>
      </c>
      <c r="G125" s="34">
        <v>5428.3079891933612</v>
      </c>
      <c r="H125" s="34">
        <v>3386.83</v>
      </c>
      <c r="I125" s="34">
        <v>3651.08</v>
      </c>
      <c r="J125" s="34">
        <v>4992.47</v>
      </c>
      <c r="K125" s="34">
        <v>5199.6899999999996</v>
      </c>
      <c r="L125" s="34">
        <v>4358.91</v>
      </c>
      <c r="M125" s="34">
        <v>5401.54</v>
      </c>
      <c r="N125" s="34">
        <v>6742.15</v>
      </c>
      <c r="O125" s="34">
        <v>8234.17</v>
      </c>
      <c r="P125" s="34">
        <v>9801.6299999999992</v>
      </c>
      <c r="Q125" s="34">
        <v>10259.879999999999</v>
      </c>
      <c r="R125" s="105">
        <v>13675.24</v>
      </c>
      <c r="S125" s="34">
        <v>8158.6671699999997</v>
      </c>
      <c r="T125" s="34">
        <v>13992.75</v>
      </c>
      <c r="U125" s="105">
        <v>17098.743882999999</v>
      </c>
      <c r="V125" s="105">
        <v>18509.150000000001</v>
      </c>
      <c r="W125" s="35"/>
      <c r="X125" s="36">
        <f t="shared" si="124"/>
        <v>18.731135314276347</v>
      </c>
      <c r="Y125" s="36">
        <f t="shared" si="124"/>
        <v>7.2912567284467489</v>
      </c>
      <c r="Z125" s="36">
        <f t="shared" si="124"/>
        <v>35.613086282514274</v>
      </c>
      <c r="AA125" s="36">
        <f t="shared" si="124"/>
        <v>13.625834478753029</v>
      </c>
      <c r="AB125" s="36">
        <f t="shared" si="124"/>
        <v>-5.2696221506920544</v>
      </c>
      <c r="AC125" s="36">
        <f t="shared" si="124"/>
        <v>-37.607998537620226</v>
      </c>
      <c r="AD125" s="37">
        <f t="shared" si="124"/>
        <v>7.8022811891946153</v>
      </c>
      <c r="AE125" s="37">
        <f t="shared" si="124"/>
        <v>36.739540081291032</v>
      </c>
      <c r="AF125" s="37">
        <f t="shared" si="124"/>
        <v>4.1506508802256148</v>
      </c>
      <c r="AG125" s="37">
        <f t="shared" si="124"/>
        <v>-16.169810123295814</v>
      </c>
      <c r="AH125" s="37">
        <f t="shared" si="124"/>
        <v>23.919511988088772</v>
      </c>
      <c r="AI125" s="37">
        <f t="shared" si="124"/>
        <v>24.81903309056306</v>
      </c>
      <c r="AJ125" s="37">
        <f t="shared" si="124"/>
        <v>22.129736063421923</v>
      </c>
      <c r="AK125" s="37">
        <f t="shared" si="125"/>
        <v>19.036041276777116</v>
      </c>
      <c r="AL125" s="37">
        <f t="shared" si="125"/>
        <v>4.6752427912500227</v>
      </c>
      <c r="AN125" s="37">
        <f t="shared" si="126"/>
        <v>7.5093751833023141</v>
      </c>
      <c r="AO125" s="37">
        <f t="shared" si="126"/>
        <v>6.8426635403317659</v>
      </c>
      <c r="AP125" s="37">
        <f t="shared" si="126"/>
        <v>7.1312962445032229</v>
      </c>
      <c r="AQ125" s="37">
        <f t="shared" si="126"/>
        <v>7.9314247818153243</v>
      </c>
      <c r="AR125" s="37">
        <f t="shared" si="126"/>
        <v>8.5917247267828891</v>
      </c>
      <c r="AS125" s="37">
        <f t="shared" si="126"/>
        <v>7.9813198989689029</v>
      </c>
      <c r="AT125" s="37">
        <f t="shared" si="126"/>
        <v>7.3146446354638099</v>
      </c>
      <c r="AU125" s="37">
        <f t="shared" si="126"/>
        <v>8.0290117236337242</v>
      </c>
      <c r="AV125" s="37">
        <f t="shared" si="126"/>
        <v>8.4338303047859817</v>
      </c>
      <c r="AW125" s="37">
        <f t="shared" si="126"/>
        <v>6.7853148371700964</v>
      </c>
      <c r="AX125" s="37">
        <f t="shared" si="126"/>
        <v>7.1987908413240458</v>
      </c>
      <c r="AY125" s="37">
        <f t="shared" si="126"/>
        <v>7.1696809424719818</v>
      </c>
      <c r="AZ125" s="37">
        <f t="shared" si="126"/>
        <v>6.9668873405657274</v>
      </c>
      <c r="BA125" s="79"/>
      <c r="BB125" s="37">
        <f t="shared" si="127"/>
        <v>33.288498500957139</v>
      </c>
      <c r="BC125" s="37">
        <f t="shared" si="127"/>
        <v>-40.339861165142253</v>
      </c>
      <c r="BD125" s="37">
        <f t="shared" si="127"/>
        <v>71.50779298182843</v>
      </c>
      <c r="BE125" s="37">
        <f t="shared" si="127"/>
        <v>22.197165553590239</v>
      </c>
      <c r="BF125" s="37">
        <f t="shared" si="127"/>
        <v>8.2485949064496022</v>
      </c>
    </row>
    <row r="126" spans="1:61" ht="11.7" hidden="1" customHeight="1">
      <c r="A126" s="83" t="s">
        <v>6</v>
      </c>
      <c r="B126" s="38">
        <f t="shared" ref="B126:U126" si="128">+B124+B125</f>
        <v>6036.5038506332166</v>
      </c>
      <c r="C126" s="38">
        <f t="shared" si="128"/>
        <v>6900.2794974688559</v>
      </c>
      <c r="D126" s="38">
        <f t="shared" si="128"/>
        <v>7691.1697306824626</v>
      </c>
      <c r="E126" s="38">
        <f t="shared" si="128"/>
        <v>10120.019323795324</v>
      </c>
      <c r="F126" s="38">
        <f t="shared" si="128"/>
        <v>12047.170939824038</v>
      </c>
      <c r="G126" s="38">
        <f t="shared" si="128"/>
        <v>11598.610369216771</v>
      </c>
      <c r="H126" s="38">
        <f t="shared" si="128"/>
        <v>6777.2999999999993</v>
      </c>
      <c r="I126" s="38">
        <f t="shared" si="128"/>
        <v>7126.1</v>
      </c>
      <c r="J126" s="38">
        <f t="shared" si="128"/>
        <v>9112.7200000000012</v>
      </c>
      <c r="K126" s="38">
        <f t="shared" si="128"/>
        <v>10744.43</v>
      </c>
      <c r="L126" s="38">
        <f t="shared" si="128"/>
        <v>9359.2999999999993</v>
      </c>
      <c r="M126" s="38">
        <f t="shared" si="128"/>
        <v>11316.68</v>
      </c>
      <c r="N126" s="38">
        <f t="shared" si="128"/>
        <v>13674.67</v>
      </c>
      <c r="O126" s="38">
        <f t="shared" si="128"/>
        <v>17439.559000000001</v>
      </c>
      <c r="P126" s="38">
        <f t="shared" si="128"/>
        <v>19191.23</v>
      </c>
      <c r="Q126" s="38">
        <f t="shared" si="128"/>
        <v>20062.830000000002</v>
      </c>
      <c r="R126" s="38">
        <f t="shared" si="128"/>
        <v>28289.17</v>
      </c>
      <c r="S126" s="38">
        <f t="shared" si="128"/>
        <v>17277.415158</v>
      </c>
      <c r="T126" s="38">
        <f t="shared" si="128"/>
        <v>27200.510000000002</v>
      </c>
      <c r="U126" s="38">
        <f t="shared" si="128"/>
        <v>34701.254557</v>
      </c>
      <c r="V126" s="38">
        <f>+V124+V125</f>
        <v>35373.01</v>
      </c>
      <c r="W126" s="39"/>
      <c r="X126" s="40">
        <f t="shared" si="124"/>
        <v>14.309203940042735</v>
      </c>
      <c r="Y126" s="40">
        <f t="shared" si="124"/>
        <v>11.461713014722363</v>
      </c>
      <c r="Z126" s="40">
        <f t="shared" si="124"/>
        <v>31.579716456177366</v>
      </c>
      <c r="AA126" s="40">
        <f t="shared" si="124"/>
        <v>19.042963796495705</v>
      </c>
      <c r="AB126" s="40">
        <f t="shared" si="124"/>
        <v>-3.7233685223513446</v>
      </c>
      <c r="AC126" s="40">
        <f t="shared" si="124"/>
        <v>-41.568000094328063</v>
      </c>
      <c r="AD126" s="253">
        <f t="shared" si="124"/>
        <v>5.1465923007687486</v>
      </c>
      <c r="AE126" s="253">
        <f t="shared" si="124"/>
        <v>27.878081980325863</v>
      </c>
      <c r="AF126" s="253">
        <f t="shared" si="124"/>
        <v>17.905850283998625</v>
      </c>
      <c r="AG126" s="253">
        <f t="shared" si="124"/>
        <v>-12.89160988530802</v>
      </c>
      <c r="AH126" s="253">
        <f t="shared" si="124"/>
        <v>20.913743549197061</v>
      </c>
      <c r="AI126" s="253">
        <f t="shared" si="124"/>
        <v>20.836411385671404</v>
      </c>
      <c r="AJ126" s="253">
        <f t="shared" si="124"/>
        <v>27.531845375427721</v>
      </c>
      <c r="AK126" s="253">
        <f t="shared" si="125"/>
        <v>10.04423907737575</v>
      </c>
      <c r="AL126" s="253">
        <f t="shared" si="125"/>
        <v>4.5416578301651356</v>
      </c>
      <c r="AN126" s="37"/>
      <c r="AO126" s="37"/>
      <c r="AP126" s="37"/>
      <c r="AQ126" s="37"/>
      <c r="AR126" s="37"/>
      <c r="AS126" s="37"/>
      <c r="AT126" s="37"/>
      <c r="AU126" s="37"/>
      <c r="AV126" s="37"/>
      <c r="AW126" s="37"/>
      <c r="AX126" s="37"/>
      <c r="AY126" s="37"/>
      <c r="AZ126" s="37"/>
      <c r="BA126" s="79"/>
      <c r="BB126" s="253">
        <f t="shared" si="127"/>
        <v>41.002889422877999</v>
      </c>
      <c r="BC126" s="253">
        <f t="shared" si="127"/>
        <v>-38.925690792624877</v>
      </c>
      <c r="BD126" s="253">
        <f t="shared" si="127"/>
        <v>57.43390866778639</v>
      </c>
      <c r="BE126" s="253">
        <f t="shared" si="127"/>
        <v>27.575749708369422</v>
      </c>
      <c r="BF126" s="37">
        <f t="shared" si="127"/>
        <v>1.9358246598738527</v>
      </c>
    </row>
    <row r="127" spans="1:61" ht="11.7" customHeight="1">
      <c r="A127" s="82" t="s">
        <v>7</v>
      </c>
      <c r="B127" s="34">
        <v>3347.1473231731147</v>
      </c>
      <c r="C127" s="34">
        <v>4033.333333333333</v>
      </c>
      <c r="D127" s="34">
        <v>4691.7605356439544</v>
      </c>
      <c r="E127" s="34">
        <v>6295.6982793117249</v>
      </c>
      <c r="F127" s="34">
        <v>6463.0665610142632</v>
      </c>
      <c r="G127" s="34">
        <v>5912.5080956052425</v>
      </c>
      <c r="H127" s="34">
        <v>3991.06</v>
      </c>
      <c r="I127" s="34">
        <v>4262.93</v>
      </c>
      <c r="J127" s="34">
        <v>4768.04</v>
      </c>
      <c r="K127" s="34">
        <v>5745.36</v>
      </c>
      <c r="L127" s="34">
        <v>5269.52</v>
      </c>
      <c r="M127" s="34">
        <v>6108.94</v>
      </c>
      <c r="N127" s="34">
        <v>8239.39</v>
      </c>
      <c r="O127" s="34">
        <v>10634.727000000001</v>
      </c>
      <c r="P127" s="34">
        <v>10774.54</v>
      </c>
      <c r="Q127" s="34">
        <v>11007.12</v>
      </c>
      <c r="R127" s="105">
        <v>14574.1</v>
      </c>
      <c r="S127" s="34">
        <v>9454.1811980000002</v>
      </c>
      <c r="T127" s="34">
        <v>15483.675472999999</v>
      </c>
      <c r="U127" s="34">
        <v>19467.850317</v>
      </c>
      <c r="V127" s="34">
        <v>24455.41</v>
      </c>
      <c r="W127" s="35"/>
      <c r="X127" s="36">
        <f t="shared" si="124"/>
        <v>20.500621690882426</v>
      </c>
      <c r="Y127" s="36">
        <f t="shared" si="124"/>
        <v>16.324641379602191</v>
      </c>
      <c r="Z127" s="36">
        <f t="shared" si="124"/>
        <v>34.18626614641633</v>
      </c>
      <c r="AA127" s="36">
        <f t="shared" si="124"/>
        <v>2.6584546189662106</v>
      </c>
      <c r="AB127" s="36">
        <f t="shared" si="124"/>
        <v>-8.5185331175456795</v>
      </c>
      <c r="AC127" s="36">
        <f t="shared" si="124"/>
        <v>-32.498020544503802</v>
      </c>
      <c r="AD127" s="37">
        <f t="shared" si="124"/>
        <v>6.811974763596651</v>
      </c>
      <c r="AE127" s="37">
        <f t="shared" si="124"/>
        <v>11.848892663027533</v>
      </c>
      <c r="AF127" s="37">
        <f t="shared" si="124"/>
        <v>20.497311264167251</v>
      </c>
      <c r="AG127" s="37">
        <f t="shared" si="124"/>
        <v>-8.2821616051909626</v>
      </c>
      <c r="AH127" s="37">
        <f t="shared" si="124"/>
        <v>15.929724149448132</v>
      </c>
      <c r="AI127" s="37">
        <f t="shared" si="124"/>
        <v>34.87429897821881</v>
      </c>
      <c r="AJ127" s="37">
        <f t="shared" si="124"/>
        <v>29.071775944578437</v>
      </c>
      <c r="AK127" s="37">
        <f t="shared" si="125"/>
        <v>1.3146834892893811</v>
      </c>
      <c r="AL127" s="37">
        <f t="shared" si="125"/>
        <v>2.1586072352044683</v>
      </c>
      <c r="AN127" s="37">
        <f t="shared" ref="AN127:AZ129" si="129">+(C127/C$150)*100</f>
        <v>8.7384765584429971</v>
      </c>
      <c r="AO127" s="37">
        <f t="shared" si="129"/>
        <v>8.6330548129890445</v>
      </c>
      <c r="AP127" s="37">
        <f t="shared" si="129"/>
        <v>8.9025466724081959</v>
      </c>
      <c r="AQ127" s="37">
        <f t="shared" si="129"/>
        <v>8.9457061353894254</v>
      </c>
      <c r="AR127" s="37">
        <f t="shared" si="129"/>
        <v>9.3580987120563446</v>
      </c>
      <c r="AS127" s="37">
        <f t="shared" si="129"/>
        <v>9.4052333881472734</v>
      </c>
      <c r="AT127" s="37">
        <f t="shared" si="129"/>
        <v>8.540436817560213</v>
      </c>
      <c r="AU127" s="37">
        <f t="shared" si="129"/>
        <v>7.6680779371242185</v>
      </c>
      <c r="AV127" s="37">
        <f t="shared" si="129"/>
        <v>9.3189000267141271</v>
      </c>
      <c r="AW127" s="37">
        <f t="shared" si="129"/>
        <v>8.2028195674525453</v>
      </c>
      <c r="AX127" s="37">
        <f t="shared" si="129"/>
        <v>8.1415635767203653</v>
      </c>
      <c r="AY127" s="37">
        <f t="shared" si="129"/>
        <v>8.7618634205104033</v>
      </c>
      <c r="AZ127" s="37">
        <f t="shared" si="129"/>
        <v>8.9979858208747885</v>
      </c>
      <c r="BA127" s="79"/>
      <c r="BB127" s="37">
        <f t="shared" si="127"/>
        <v>32.406115314451014</v>
      </c>
      <c r="BC127" s="37">
        <f t="shared" si="127"/>
        <v>-35.130257113646813</v>
      </c>
      <c r="BD127" s="37">
        <f t="shared" si="127"/>
        <v>63.775954244197465</v>
      </c>
      <c r="BE127" s="37">
        <f t="shared" si="127"/>
        <v>25.731454078506701</v>
      </c>
      <c r="BF127" s="37">
        <f t="shared" si="127"/>
        <v>25.619468003843693</v>
      </c>
    </row>
    <row r="128" spans="1:61" ht="11.7" customHeight="1">
      <c r="A128" s="84" t="s">
        <v>8</v>
      </c>
      <c r="B128" s="38">
        <f t="shared" ref="B128:V128" si="130">+B124+B125+B127</f>
        <v>9383.6511738063309</v>
      </c>
      <c r="C128" s="38">
        <f t="shared" si="130"/>
        <v>10933.612830802189</v>
      </c>
      <c r="D128" s="38">
        <f t="shared" si="130"/>
        <v>12382.930266326417</v>
      </c>
      <c r="E128" s="38">
        <f t="shared" si="130"/>
        <v>16415.717603107048</v>
      </c>
      <c r="F128" s="38">
        <f t="shared" si="130"/>
        <v>18510.237500838302</v>
      </c>
      <c r="G128" s="38">
        <f t="shared" si="130"/>
        <v>17511.118464822015</v>
      </c>
      <c r="H128" s="38">
        <f t="shared" si="130"/>
        <v>10768.359999999999</v>
      </c>
      <c r="I128" s="38">
        <f t="shared" si="130"/>
        <v>11389.03</v>
      </c>
      <c r="J128" s="38">
        <f t="shared" si="130"/>
        <v>13880.760000000002</v>
      </c>
      <c r="K128" s="38">
        <f t="shared" si="130"/>
        <v>16489.79</v>
      </c>
      <c r="L128" s="38">
        <f t="shared" si="130"/>
        <v>14628.82</v>
      </c>
      <c r="M128" s="38">
        <f t="shared" si="130"/>
        <v>17425.62</v>
      </c>
      <c r="N128" s="38">
        <f t="shared" si="130"/>
        <v>21914.059999999998</v>
      </c>
      <c r="O128" s="38">
        <f t="shared" si="130"/>
        <v>28074.286</v>
      </c>
      <c r="P128" s="38">
        <f t="shared" si="130"/>
        <v>29965.77</v>
      </c>
      <c r="Q128" s="38">
        <f t="shared" si="130"/>
        <v>31069.950000000004</v>
      </c>
      <c r="R128" s="38">
        <f t="shared" si="130"/>
        <v>42863.27</v>
      </c>
      <c r="S128" s="38">
        <f t="shared" si="130"/>
        <v>26731.596356000002</v>
      </c>
      <c r="T128" s="38">
        <f t="shared" si="130"/>
        <v>42684.185473000005</v>
      </c>
      <c r="U128" s="38">
        <f t="shared" si="130"/>
        <v>54169.104873999997</v>
      </c>
      <c r="V128" s="38">
        <f t="shared" si="130"/>
        <v>59828.42</v>
      </c>
      <c r="W128" s="39"/>
      <c r="X128" s="40">
        <f t="shared" si="124"/>
        <v>16.517681958622312</v>
      </c>
      <c r="Y128" s="40">
        <f t="shared" si="124"/>
        <v>13.255613290432322</v>
      </c>
      <c r="Z128" s="40">
        <f t="shared" si="124"/>
        <v>32.567310402669492</v>
      </c>
      <c r="AA128" s="40">
        <f t="shared" si="124"/>
        <v>12.75923446279814</v>
      </c>
      <c r="AB128" s="40">
        <f t="shared" si="124"/>
        <v>-5.3976564912850966</v>
      </c>
      <c r="AC128" s="40">
        <f t="shared" si="124"/>
        <v>-38.505584199932777</v>
      </c>
      <c r="AD128" s="253">
        <f t="shared" si="124"/>
        <v>5.7638303325669105</v>
      </c>
      <c r="AE128" s="253">
        <f t="shared" si="124"/>
        <v>21.878333800156824</v>
      </c>
      <c r="AF128" s="253">
        <f t="shared" si="124"/>
        <v>18.796016932790405</v>
      </c>
      <c r="AG128" s="253">
        <f t="shared" si="124"/>
        <v>-11.285589446560573</v>
      </c>
      <c r="AH128" s="253">
        <f t="shared" si="124"/>
        <v>19.118425136135375</v>
      </c>
      <c r="AI128" s="253">
        <f t="shared" si="124"/>
        <v>25.757706182046892</v>
      </c>
      <c r="AJ128" s="253">
        <f t="shared" si="124"/>
        <v>28.110838429756988</v>
      </c>
      <c r="AK128" s="253">
        <f t="shared" si="125"/>
        <v>6.7374251298857546</v>
      </c>
      <c r="AL128" s="253">
        <f t="shared" si="125"/>
        <v>3.6848043617768056</v>
      </c>
      <c r="AN128" s="37">
        <f t="shared" si="129"/>
        <v>23.688376715964424</v>
      </c>
      <c r="AO128" s="37">
        <f t="shared" si="129"/>
        <v>22.785160266058718</v>
      </c>
      <c r="AP128" s="37">
        <f t="shared" si="129"/>
        <v>23.212944083259053</v>
      </c>
      <c r="AQ128" s="37">
        <f t="shared" si="129"/>
        <v>25.620522953855929</v>
      </c>
      <c r="AR128" s="37">
        <f t="shared" si="129"/>
        <v>27.715949391108975</v>
      </c>
      <c r="AS128" s="37">
        <f t="shared" si="129"/>
        <v>25.376451120150929</v>
      </c>
      <c r="AT128" s="37">
        <f t="shared" si="129"/>
        <v>22.817004062533936</v>
      </c>
      <c r="AU128" s="37">
        <f t="shared" si="129"/>
        <v>22.323375958783142</v>
      </c>
      <c r="AV128" s="37">
        <f t="shared" si="129"/>
        <v>26.746227298465264</v>
      </c>
      <c r="AW128" s="37">
        <f t="shared" si="129"/>
        <v>22.772011671791951</v>
      </c>
      <c r="AX128" s="37">
        <f t="shared" si="129"/>
        <v>23.223635048595977</v>
      </c>
      <c r="AY128" s="37">
        <f t="shared" si="129"/>
        <v>23.303666983705128</v>
      </c>
      <c r="AZ128" s="37">
        <f t="shared" si="129"/>
        <v>23.753503720329025</v>
      </c>
      <c r="BA128" s="79"/>
      <c r="BB128" s="253">
        <f t="shared" si="127"/>
        <v>37.957318888507999</v>
      </c>
      <c r="BC128" s="253">
        <f t="shared" si="127"/>
        <v>-37.635191258156453</v>
      </c>
      <c r="BD128" s="253">
        <f t="shared" si="127"/>
        <v>59.676904082158885</v>
      </c>
      <c r="BE128" s="253">
        <f t="shared" si="127"/>
        <v>26.906732022015056</v>
      </c>
      <c r="BF128" s="253">
        <f t="shared" si="127"/>
        <v>10.447496112708254</v>
      </c>
    </row>
    <row r="129" spans="1:58" ht="11.7" customHeight="1">
      <c r="A129" s="82" t="s">
        <v>10</v>
      </c>
      <c r="B129" s="34">
        <v>3311.6964980544749</v>
      </c>
      <c r="C129" s="34">
        <v>3912.6268187180499</v>
      </c>
      <c r="D129" s="34">
        <v>4102.620553359684</v>
      </c>
      <c r="E129" s="34">
        <v>5134.9252525252523</v>
      </c>
      <c r="F129" s="34">
        <v>6344.6302886516414</v>
      </c>
      <c r="G129" s="34">
        <v>5765.8149001536103</v>
      </c>
      <c r="H129" s="34">
        <v>3619.94</v>
      </c>
      <c r="I129" s="34">
        <v>3740.32</v>
      </c>
      <c r="J129" s="34">
        <v>4754.07</v>
      </c>
      <c r="K129" s="34">
        <v>4882.4399999999996</v>
      </c>
      <c r="L129" s="34">
        <v>5162.74</v>
      </c>
      <c r="M129" s="34">
        <v>5788.99</v>
      </c>
      <c r="N129" s="34">
        <v>7532.63</v>
      </c>
      <c r="O129" s="34">
        <v>9724.01</v>
      </c>
      <c r="P129" s="34">
        <v>9754.4699999999993</v>
      </c>
      <c r="Q129" s="34">
        <v>10784.79</v>
      </c>
      <c r="R129" s="105">
        <v>15442.88</v>
      </c>
      <c r="S129" s="34">
        <v>9810.9068110000007</v>
      </c>
      <c r="T129" s="34">
        <v>14544.05272</v>
      </c>
      <c r="U129" s="34">
        <v>18344.385289999998</v>
      </c>
      <c r="V129" s="34">
        <v>19787.36</v>
      </c>
      <c r="W129" s="35"/>
      <c r="X129" s="36">
        <f t="shared" si="124"/>
        <v>18.145694239088762</v>
      </c>
      <c r="Y129" s="36">
        <f t="shared" si="124"/>
        <v>4.8559124967579859</v>
      </c>
      <c r="Z129" s="36">
        <f t="shared" si="124"/>
        <v>25.162080814912358</v>
      </c>
      <c r="AA129" s="36">
        <f t="shared" si="124"/>
        <v>23.558376736476937</v>
      </c>
      <c r="AB129" s="36">
        <f t="shared" si="124"/>
        <v>-9.1229175249711965</v>
      </c>
      <c r="AC129" s="36">
        <f t="shared" si="124"/>
        <v>-37.217200644031088</v>
      </c>
      <c r="AD129" s="37">
        <f t="shared" si="124"/>
        <v>3.3254694829196074</v>
      </c>
      <c r="AE129" s="37">
        <f t="shared" si="124"/>
        <v>27.103295974675955</v>
      </c>
      <c r="AF129" s="37">
        <f t="shared" si="124"/>
        <v>2.7002126598893117</v>
      </c>
      <c r="AG129" s="37">
        <f t="shared" si="124"/>
        <v>5.7409819680323881</v>
      </c>
      <c r="AH129" s="37">
        <f t="shared" si="124"/>
        <v>12.130186683815181</v>
      </c>
      <c r="AI129" s="37">
        <f t="shared" si="124"/>
        <v>30.119934565442328</v>
      </c>
      <c r="AJ129" s="37">
        <f t="shared" si="124"/>
        <v>29.091831139986969</v>
      </c>
      <c r="AK129" s="37">
        <f t="shared" si="125"/>
        <v>0.3132452558152421</v>
      </c>
      <c r="AL129" s="37">
        <f t="shared" si="125"/>
        <v>10.562542096085203</v>
      </c>
      <c r="AN129" s="37">
        <f t="shared" si="129"/>
        <v>8.4769581166867134</v>
      </c>
      <c r="AO129" s="37">
        <f t="shared" si="129"/>
        <v>7.5490101945683339</v>
      </c>
      <c r="AP129" s="37">
        <f t="shared" si="129"/>
        <v>7.2611344590883338</v>
      </c>
      <c r="AQ129" s="37">
        <f t="shared" si="129"/>
        <v>8.7817752709422088</v>
      </c>
      <c r="AR129" s="37">
        <f t="shared" si="129"/>
        <v>9.1259181583512738</v>
      </c>
      <c r="AS129" s="37">
        <f t="shared" si="129"/>
        <v>8.5306611654773015</v>
      </c>
      <c r="AT129" s="37">
        <f t="shared" si="129"/>
        <v>7.4934297859586749</v>
      </c>
      <c r="AU129" s="37">
        <f t="shared" si="129"/>
        <v>7.6456110432261752</v>
      </c>
      <c r="AV129" s="37">
        <f t="shared" si="129"/>
        <v>7.9192548850603144</v>
      </c>
      <c r="AW129" s="37">
        <f t="shared" si="129"/>
        <v>8.0366000496572632</v>
      </c>
      <c r="AX129" s="37">
        <f t="shared" si="129"/>
        <v>7.7151568242605784</v>
      </c>
      <c r="AY129" s="37">
        <f t="shared" si="129"/>
        <v>8.0102865936967778</v>
      </c>
      <c r="AZ129" s="37">
        <f t="shared" si="129"/>
        <v>8.2274330222152976</v>
      </c>
      <c r="BA129" s="79"/>
      <c r="BB129" s="37">
        <f t="shared" si="127"/>
        <v>43.191290697361737</v>
      </c>
      <c r="BC129" s="37">
        <f t="shared" si="127"/>
        <v>-36.469707651681546</v>
      </c>
      <c r="BD129" s="37">
        <f t="shared" si="127"/>
        <v>48.243714879578611</v>
      </c>
      <c r="BE129" s="37">
        <f t="shared" si="127"/>
        <v>26.129804691742066</v>
      </c>
      <c r="BF129" s="37">
        <f t="shared" si="127"/>
        <v>7.866029235586347</v>
      </c>
    </row>
    <row r="130" spans="1:58" ht="11.7" hidden="1" customHeight="1">
      <c r="A130" s="304" t="s">
        <v>11</v>
      </c>
      <c r="B130" s="252">
        <f t="shared" ref="B130:U130" si="131">+B128+B129</f>
        <v>12695.347671860805</v>
      </c>
      <c r="C130" s="252">
        <f t="shared" si="131"/>
        <v>14846.239649520239</v>
      </c>
      <c r="D130" s="252">
        <f t="shared" si="131"/>
        <v>16485.550819686101</v>
      </c>
      <c r="E130" s="252">
        <f t="shared" si="131"/>
        <v>21550.642855632301</v>
      </c>
      <c r="F130" s="252">
        <f t="shared" si="131"/>
        <v>24854.867789489945</v>
      </c>
      <c r="G130" s="252">
        <f t="shared" si="131"/>
        <v>23276.933364975626</v>
      </c>
      <c r="H130" s="252">
        <f t="shared" si="131"/>
        <v>14388.3</v>
      </c>
      <c r="I130" s="252">
        <f t="shared" si="131"/>
        <v>15129.35</v>
      </c>
      <c r="J130" s="252">
        <f t="shared" si="131"/>
        <v>18634.830000000002</v>
      </c>
      <c r="K130" s="252">
        <f t="shared" si="131"/>
        <v>21372.23</v>
      </c>
      <c r="L130" s="252">
        <f t="shared" si="131"/>
        <v>19791.559999999998</v>
      </c>
      <c r="M130" s="252">
        <f t="shared" si="131"/>
        <v>23214.61</v>
      </c>
      <c r="N130" s="252">
        <f t="shared" si="131"/>
        <v>29446.69</v>
      </c>
      <c r="O130" s="252">
        <f t="shared" si="131"/>
        <v>37798.296000000002</v>
      </c>
      <c r="P130" s="252">
        <f t="shared" si="131"/>
        <v>39720.239999999998</v>
      </c>
      <c r="Q130" s="252">
        <f t="shared" si="131"/>
        <v>41854.740000000005</v>
      </c>
      <c r="R130" s="252">
        <f t="shared" si="131"/>
        <v>58306.149999999994</v>
      </c>
      <c r="S130" s="252">
        <f t="shared" si="131"/>
        <v>36542.503167000003</v>
      </c>
      <c r="T130" s="252">
        <f t="shared" si="131"/>
        <v>57228.238193000005</v>
      </c>
      <c r="U130" s="252">
        <f t="shared" si="131"/>
        <v>72513.490163999988</v>
      </c>
      <c r="V130" s="252">
        <f>+V128+V129</f>
        <v>79615.78</v>
      </c>
      <c r="W130" s="39"/>
      <c r="X130" s="40">
        <f t="shared" si="124"/>
        <v>16.942363716646213</v>
      </c>
      <c r="Y130" s="40">
        <f t="shared" si="124"/>
        <v>11.041928521063827</v>
      </c>
      <c r="Z130" s="40">
        <f t="shared" si="124"/>
        <v>30.724433119321425</v>
      </c>
      <c r="AA130" s="40">
        <f t="shared" si="124"/>
        <v>15.332372941227955</v>
      </c>
      <c r="AB130" s="40">
        <f t="shared" si="124"/>
        <v>-6.3485931121370136</v>
      </c>
      <c r="AC130" s="40">
        <f t="shared" si="124"/>
        <v>-38.186445033821293</v>
      </c>
      <c r="AD130" s="253">
        <f t="shared" si="124"/>
        <v>5.1503652273027445</v>
      </c>
      <c r="AE130" s="253">
        <f t="shared" si="124"/>
        <v>23.170063485873492</v>
      </c>
      <c r="AF130" s="253">
        <f t="shared" si="124"/>
        <v>14.68969665942752</v>
      </c>
      <c r="AG130" s="253">
        <f t="shared" si="124"/>
        <v>-7.3959058086124019</v>
      </c>
      <c r="AH130" s="253">
        <f t="shared" si="124"/>
        <v>17.295503739978059</v>
      </c>
      <c r="AI130" s="253">
        <f t="shared" si="124"/>
        <v>26.845508065825776</v>
      </c>
      <c r="AJ130" s="253">
        <f t="shared" si="124"/>
        <v>28.361781918443143</v>
      </c>
      <c r="AK130" s="253">
        <f t="shared" si="125"/>
        <v>5.0847371532303898</v>
      </c>
      <c r="AL130" s="253">
        <f t="shared" si="125"/>
        <v>5.373834599186722</v>
      </c>
      <c r="AN130" s="37"/>
      <c r="AO130" s="37"/>
      <c r="AP130" s="37"/>
      <c r="AQ130" s="37"/>
      <c r="AR130" s="37"/>
      <c r="AS130" s="37"/>
      <c r="AT130" s="37"/>
      <c r="AU130" s="37"/>
      <c r="AV130" s="37"/>
      <c r="AW130" s="37"/>
      <c r="AX130" s="37"/>
      <c r="AY130" s="37"/>
      <c r="AZ130" s="37"/>
      <c r="BA130" s="79"/>
      <c r="BB130" s="253">
        <f t="shared" si="127"/>
        <v>39.305966301546704</v>
      </c>
      <c r="BC130" s="253">
        <f t="shared" si="127"/>
        <v>-37.326503006972665</v>
      </c>
      <c r="BD130" s="253">
        <f t="shared" si="127"/>
        <v>56.607329091457579</v>
      </c>
      <c r="BE130" s="253">
        <f t="shared" si="127"/>
        <v>26.709282783529108</v>
      </c>
      <c r="BF130" s="253">
        <f t="shared" si="127"/>
        <v>9.7944393793997886</v>
      </c>
    </row>
    <row r="131" spans="1:58" ht="11.7" customHeight="1">
      <c r="A131" s="82" t="s">
        <v>12</v>
      </c>
      <c r="B131" s="34">
        <v>2893.15031152648</v>
      </c>
      <c r="C131" s="34">
        <v>3706.124307205067</v>
      </c>
      <c r="D131" s="34">
        <v>4319.4378463974663</v>
      </c>
      <c r="E131" s="34">
        <v>6309.2354615697441</v>
      </c>
      <c r="F131" s="34">
        <v>6460.2960915909989</v>
      </c>
      <c r="G131" s="34">
        <v>5488.3707951070337</v>
      </c>
      <c r="H131" s="34">
        <v>3370.5</v>
      </c>
      <c r="I131" s="34">
        <v>3511.58</v>
      </c>
      <c r="J131" s="34">
        <v>4702.3599999999997</v>
      </c>
      <c r="K131" s="34">
        <v>5309.98</v>
      </c>
      <c r="L131" s="34">
        <v>5279.54</v>
      </c>
      <c r="M131" s="34">
        <v>5989.47</v>
      </c>
      <c r="N131" s="34">
        <v>7872.83</v>
      </c>
      <c r="O131" s="34">
        <v>10795.27</v>
      </c>
      <c r="P131" s="34">
        <v>11479.71</v>
      </c>
      <c r="Q131" s="34">
        <v>12246.8</v>
      </c>
      <c r="R131" s="105">
        <v>14168.92</v>
      </c>
      <c r="S131" s="34">
        <v>9251.6269580000007</v>
      </c>
      <c r="T131" s="34">
        <v>14343.43</v>
      </c>
      <c r="U131" s="34">
        <v>19186.584976999999</v>
      </c>
      <c r="V131" s="34">
        <v>22672.2</v>
      </c>
      <c r="W131" s="39"/>
      <c r="X131" s="40">
        <f t="shared" si="124"/>
        <v>28.09995707584396</v>
      </c>
      <c r="Y131" s="40">
        <f t="shared" si="124"/>
        <v>16.548649973776051</v>
      </c>
      <c r="Z131" s="40">
        <f t="shared" si="124"/>
        <v>46.066124480337777</v>
      </c>
      <c r="AA131" s="40">
        <f t="shared" si="124"/>
        <v>2.3942778953390143</v>
      </c>
      <c r="AB131" s="40">
        <f t="shared" si="124"/>
        <v>-15.044593664198535</v>
      </c>
      <c r="AC131" s="40">
        <f t="shared" si="124"/>
        <v>-38.588332934705285</v>
      </c>
      <c r="AD131" s="253">
        <f t="shared" si="124"/>
        <v>4.1857291203085678</v>
      </c>
      <c r="AE131" s="253">
        <f t="shared" si="124"/>
        <v>33.910091753569603</v>
      </c>
      <c r="AF131" s="253">
        <f t="shared" si="124"/>
        <v>12.921596815216185</v>
      </c>
      <c r="AG131" s="253">
        <f t="shared" si="124"/>
        <v>-0.57326016293846038</v>
      </c>
      <c r="AH131" s="37">
        <f t="shared" si="124"/>
        <v>13.446815442254433</v>
      </c>
      <c r="AI131" s="37">
        <f t="shared" si="124"/>
        <v>31.444518463236303</v>
      </c>
      <c r="AJ131" s="37">
        <f t="shared" si="124"/>
        <v>37.120577987839184</v>
      </c>
      <c r="AK131" s="37">
        <f t="shared" si="125"/>
        <v>6.3401841732536379</v>
      </c>
      <c r="AL131" s="37">
        <f t="shared" si="125"/>
        <v>6.6821374407541656</v>
      </c>
      <c r="AN131" s="37">
        <f t="shared" ref="AN131:AZ131" si="132">+(C131/C$150)*100</f>
        <v>8.0295571193026305</v>
      </c>
      <c r="AO131" s="37">
        <f t="shared" si="132"/>
        <v>7.9479639691650545</v>
      </c>
      <c r="AP131" s="37">
        <f t="shared" si="132"/>
        <v>8.9216891712253545</v>
      </c>
      <c r="AQ131" s="37">
        <f t="shared" si="132"/>
        <v>8.9418714533412622</v>
      </c>
      <c r="AR131" s="37">
        <f t="shared" si="132"/>
        <v>8.6867899102168042</v>
      </c>
      <c r="AS131" s="37">
        <f t="shared" si="132"/>
        <v>7.9428370244372131</v>
      </c>
      <c r="AT131" s="37">
        <f t="shared" si="132"/>
        <v>7.0351676241008159</v>
      </c>
      <c r="AU131" s="37">
        <f t="shared" si="132"/>
        <v>7.5624497630924727</v>
      </c>
      <c r="AV131" s="37">
        <f t="shared" si="132"/>
        <v>8.6127192663038485</v>
      </c>
      <c r="AW131" s="37">
        <f t="shared" si="132"/>
        <v>8.2184172408774234</v>
      </c>
      <c r="AX131" s="37">
        <f t="shared" si="132"/>
        <v>7.9823424024232228</v>
      </c>
      <c r="AY131" s="37">
        <f t="shared" si="132"/>
        <v>8.3720592413876425</v>
      </c>
      <c r="AZ131" s="37">
        <f t="shared" si="132"/>
        <v>9.1338203973186101</v>
      </c>
      <c r="BA131" s="79"/>
      <c r="BB131" s="37">
        <f t="shared" si="127"/>
        <v>15.694875396021835</v>
      </c>
      <c r="BC131" s="37">
        <f t="shared" si="127"/>
        <v>-34.70478372381239</v>
      </c>
      <c r="BD131" s="37">
        <f t="shared" si="127"/>
        <v>55.036839089118828</v>
      </c>
      <c r="BE131" s="37">
        <f t="shared" si="127"/>
        <v>33.765668163054443</v>
      </c>
      <c r="BF131" s="37">
        <f t="shared" si="127"/>
        <v>18.166938135047992</v>
      </c>
    </row>
    <row r="132" spans="1:58" ht="11.7" hidden="1" customHeight="1">
      <c r="A132" s="304" t="s">
        <v>13</v>
      </c>
      <c r="B132" s="252">
        <f t="shared" ref="B132:U132" si="133">+B128+B129+B131</f>
        <v>15588.497983387286</v>
      </c>
      <c r="C132" s="252">
        <f t="shared" si="133"/>
        <v>18552.363956725305</v>
      </c>
      <c r="D132" s="252">
        <f t="shared" si="133"/>
        <v>20804.988666083569</v>
      </c>
      <c r="E132" s="252">
        <f t="shared" si="133"/>
        <v>27859.878317202045</v>
      </c>
      <c r="F132" s="252">
        <f t="shared" si="133"/>
        <v>31315.163881080945</v>
      </c>
      <c r="G132" s="252">
        <f t="shared" si="133"/>
        <v>28765.304160082662</v>
      </c>
      <c r="H132" s="252">
        <f t="shared" si="133"/>
        <v>17758.8</v>
      </c>
      <c r="I132" s="252">
        <f t="shared" si="133"/>
        <v>18640.93</v>
      </c>
      <c r="J132" s="252">
        <f t="shared" si="133"/>
        <v>23337.190000000002</v>
      </c>
      <c r="K132" s="252">
        <f t="shared" si="133"/>
        <v>26682.21</v>
      </c>
      <c r="L132" s="252">
        <f t="shared" si="133"/>
        <v>25071.1</v>
      </c>
      <c r="M132" s="252">
        <f t="shared" si="133"/>
        <v>29204.080000000002</v>
      </c>
      <c r="N132" s="252">
        <f t="shared" si="133"/>
        <v>37319.519999999997</v>
      </c>
      <c r="O132" s="252">
        <f t="shared" si="133"/>
        <v>48593.566000000006</v>
      </c>
      <c r="P132" s="252">
        <f t="shared" si="133"/>
        <v>51199.95</v>
      </c>
      <c r="Q132" s="252">
        <f t="shared" si="133"/>
        <v>54101.540000000008</v>
      </c>
      <c r="R132" s="252">
        <f t="shared" si="133"/>
        <v>72475.069999999992</v>
      </c>
      <c r="S132" s="252">
        <f t="shared" si="133"/>
        <v>45794.130125000003</v>
      </c>
      <c r="T132" s="252">
        <f t="shared" si="133"/>
        <v>71571.668193000005</v>
      </c>
      <c r="U132" s="252">
        <f t="shared" si="133"/>
        <v>91700.075140999979</v>
      </c>
      <c r="V132" s="252">
        <f>+V128+V129+V131</f>
        <v>102287.98</v>
      </c>
      <c r="W132" s="39"/>
      <c r="X132" s="40">
        <f t="shared" si="124"/>
        <v>19.013159423676495</v>
      </c>
      <c r="Y132" s="40">
        <f t="shared" si="124"/>
        <v>12.141982092485204</v>
      </c>
      <c r="Z132" s="40">
        <f t="shared" si="124"/>
        <v>33.909605837081777</v>
      </c>
      <c r="AA132" s="40">
        <f t="shared" si="124"/>
        <v>12.402371340385354</v>
      </c>
      <c r="AB132" s="40">
        <f t="shared" si="124"/>
        <v>-8.1425718565017018</v>
      </c>
      <c r="AC132" s="40">
        <f t="shared" si="124"/>
        <v>-38.263124557383556</v>
      </c>
      <c r="AD132" s="253">
        <f t="shared" si="124"/>
        <v>4.9672838254837037</v>
      </c>
      <c r="AE132" s="253">
        <f t="shared" si="124"/>
        <v>25.193270936589542</v>
      </c>
      <c r="AF132" s="253">
        <f t="shared" si="124"/>
        <v>14.333430888637388</v>
      </c>
      <c r="AG132" s="253">
        <f t="shared" si="124"/>
        <v>-6.0381430173887418</v>
      </c>
      <c r="AH132" s="253">
        <f t="shared" si="124"/>
        <v>16.485036556034661</v>
      </c>
      <c r="AI132" s="253">
        <f t="shared" si="124"/>
        <v>27.788719932283424</v>
      </c>
      <c r="AJ132" s="253">
        <f t="shared" si="124"/>
        <v>30.209515020557642</v>
      </c>
      <c r="AK132" s="253">
        <f t="shared" si="125"/>
        <v>5.3636401164713687</v>
      </c>
      <c r="AL132" s="253">
        <f t="shared" si="125"/>
        <v>5.6671735030991544</v>
      </c>
      <c r="AN132" s="37"/>
      <c r="AO132" s="37"/>
      <c r="AP132" s="37"/>
      <c r="AQ132" s="37"/>
      <c r="AR132" s="37"/>
      <c r="AS132" s="37"/>
      <c r="AT132" s="37"/>
      <c r="AU132" s="37"/>
      <c r="AV132" s="37"/>
      <c r="AW132" s="37"/>
      <c r="AX132" s="37"/>
      <c r="AY132" s="37"/>
      <c r="AZ132" s="37"/>
      <c r="BA132" s="79"/>
      <c r="BB132" s="253">
        <f t="shared" si="127"/>
        <v>33.961195928988317</v>
      </c>
      <c r="BC132" s="253">
        <f t="shared" si="127"/>
        <v>-36.813955302147342</v>
      </c>
      <c r="BD132" s="253">
        <f t="shared" si="127"/>
        <v>56.290048522894608</v>
      </c>
      <c r="BE132" s="253">
        <f t="shared" si="127"/>
        <v>28.123428524429194</v>
      </c>
      <c r="BF132" s="37">
        <f t="shared" si="127"/>
        <v>11.546233569296248</v>
      </c>
    </row>
    <row r="133" spans="1:58" ht="11.7" customHeight="1">
      <c r="A133" s="82" t="s">
        <v>14</v>
      </c>
      <c r="B133" s="34">
        <v>3842.2866092404074</v>
      </c>
      <c r="C133" s="34">
        <v>3773.2131537242471</v>
      </c>
      <c r="D133" s="34">
        <v>4839.1092636579569</v>
      </c>
      <c r="E133" s="34">
        <v>6153.0300568643379</v>
      </c>
      <c r="F133" s="34">
        <v>5749.9370326643048</v>
      </c>
      <c r="G133" s="34">
        <v>5871.9702357943561</v>
      </c>
      <c r="H133" s="34">
        <v>3678.49</v>
      </c>
      <c r="I133" s="34">
        <v>4626.32</v>
      </c>
      <c r="J133" s="34">
        <v>5473.05</v>
      </c>
      <c r="K133" s="34">
        <v>4855.9799999999996</v>
      </c>
      <c r="L133" s="34">
        <v>5313.44</v>
      </c>
      <c r="M133" s="34">
        <v>5818.81</v>
      </c>
      <c r="N133" s="34">
        <v>8117.67</v>
      </c>
      <c r="O133" s="34">
        <v>11048.17</v>
      </c>
      <c r="P133" s="34">
        <v>11383.73</v>
      </c>
      <c r="Q133" s="34">
        <v>11969.16</v>
      </c>
      <c r="R133" s="105">
        <v>16112.74</v>
      </c>
      <c r="S133" s="34">
        <v>11397.461182999999</v>
      </c>
      <c r="T133" s="34">
        <v>15703.67</v>
      </c>
      <c r="U133" s="34">
        <v>19805.826239000002</v>
      </c>
      <c r="V133" s="266">
        <v>20316.97</v>
      </c>
      <c r="W133" s="35"/>
      <c r="X133" s="36">
        <f t="shared" si="124"/>
        <v>-1.7977174151986408</v>
      </c>
      <c r="Y133" s="36">
        <f t="shared" si="124"/>
        <v>28.249029845601115</v>
      </c>
      <c r="Z133" s="36">
        <f t="shared" si="124"/>
        <v>27.152120806075118</v>
      </c>
      <c r="AA133" s="36">
        <f t="shared" si="124"/>
        <v>-6.5511304263879078</v>
      </c>
      <c r="AB133" s="36">
        <f t="shared" si="124"/>
        <v>2.1223398175806762</v>
      </c>
      <c r="AC133" s="36">
        <f t="shared" si="124"/>
        <v>-37.355097994593699</v>
      </c>
      <c r="AD133" s="37">
        <f t="shared" si="124"/>
        <v>25.766822799572651</v>
      </c>
      <c r="AE133" s="37">
        <f t="shared" si="124"/>
        <v>18.302452056926466</v>
      </c>
      <c r="AF133" s="37">
        <f t="shared" si="124"/>
        <v>-11.274700578288165</v>
      </c>
      <c r="AG133" s="37">
        <f t="shared" si="124"/>
        <v>9.4205495080292856</v>
      </c>
      <c r="AH133" s="37">
        <f t="shared" si="124"/>
        <v>9.5111641422506175</v>
      </c>
      <c r="AI133" s="37">
        <f t="shared" si="124"/>
        <v>39.507390686411824</v>
      </c>
      <c r="AJ133" s="37">
        <f t="shared" si="124"/>
        <v>36.100260296365839</v>
      </c>
      <c r="AK133" s="37">
        <f t="shared" si="125"/>
        <v>3.0372450822172326</v>
      </c>
      <c r="AL133" s="37">
        <f t="shared" si="125"/>
        <v>5.1426904889697811</v>
      </c>
      <c r="AN133" s="37">
        <f t="shared" ref="AN133:AZ136" si="134">+(C133/C$150)*100</f>
        <v>8.1749094282218451</v>
      </c>
      <c r="AO133" s="37">
        <f t="shared" si="134"/>
        <v>8.9041832382155697</v>
      </c>
      <c r="AP133" s="37">
        <f t="shared" si="134"/>
        <v>8.7008040772808073</v>
      </c>
      <c r="AQ133" s="37">
        <f t="shared" si="134"/>
        <v>7.9586441676899229</v>
      </c>
      <c r="AR133" s="37">
        <f t="shared" si="134"/>
        <v>9.2939368897718655</v>
      </c>
      <c r="AS133" s="37">
        <f t="shared" si="134"/>
        <v>8.6686386488716938</v>
      </c>
      <c r="AT133" s="37">
        <f t="shared" si="134"/>
        <v>9.2684594065150385</v>
      </c>
      <c r="AU133" s="37">
        <f t="shared" si="134"/>
        <v>8.8018921724183734</v>
      </c>
      <c r="AV133" s="37">
        <f t="shared" si="134"/>
        <v>7.8763371053725564</v>
      </c>
      <c r="AW133" s="37">
        <f t="shared" si="134"/>
        <v>8.271187812644234</v>
      </c>
      <c r="AX133" s="37">
        <f t="shared" si="134"/>
        <v>7.7548988131911969</v>
      </c>
      <c r="AY133" s="37">
        <f t="shared" si="134"/>
        <v>8.6324249529121317</v>
      </c>
      <c r="AZ133" s="37">
        <f t="shared" si="134"/>
        <v>9.3477977391064382</v>
      </c>
      <c r="BA133" s="79"/>
      <c r="BB133" s="37">
        <f t="shared" si="127"/>
        <v>34.618803658736283</v>
      </c>
      <c r="BC133" s="37">
        <f t="shared" si="127"/>
        <v>-29.264289109114905</v>
      </c>
      <c r="BD133" s="37">
        <f t="shared" si="127"/>
        <v>37.782175765800986</v>
      </c>
      <c r="BE133" s="37">
        <f t="shared" si="127"/>
        <v>26.122277397576511</v>
      </c>
      <c r="BF133" s="37">
        <f t="shared" si="127"/>
        <v>2.5807747418963967</v>
      </c>
    </row>
    <row r="134" spans="1:58" ht="11.7" customHeight="1">
      <c r="A134" s="84" t="s">
        <v>15</v>
      </c>
      <c r="B134" s="38">
        <f t="shared" ref="B134:V134" si="135">+B129+B131+B133</f>
        <v>10047.133418821362</v>
      </c>
      <c r="C134" s="38">
        <f t="shared" si="135"/>
        <v>11391.964279647364</v>
      </c>
      <c r="D134" s="38">
        <f t="shared" si="135"/>
        <v>13261.167663415108</v>
      </c>
      <c r="E134" s="38">
        <f t="shared" si="135"/>
        <v>17597.190770959336</v>
      </c>
      <c r="F134" s="38">
        <f t="shared" si="135"/>
        <v>18554.863412906943</v>
      </c>
      <c r="G134" s="38">
        <f t="shared" si="135"/>
        <v>17126.155931055</v>
      </c>
      <c r="H134" s="38">
        <f t="shared" si="135"/>
        <v>10668.93</v>
      </c>
      <c r="I134" s="38">
        <f t="shared" si="135"/>
        <v>11878.22</v>
      </c>
      <c r="J134" s="38">
        <f t="shared" si="135"/>
        <v>14929.48</v>
      </c>
      <c r="K134" s="38">
        <f t="shared" si="135"/>
        <v>15048.399999999998</v>
      </c>
      <c r="L134" s="38">
        <f t="shared" si="135"/>
        <v>15755.719999999998</v>
      </c>
      <c r="M134" s="38">
        <f t="shared" si="135"/>
        <v>17597.27</v>
      </c>
      <c r="N134" s="38">
        <f t="shared" si="135"/>
        <v>23523.129999999997</v>
      </c>
      <c r="O134" s="38">
        <f t="shared" si="135"/>
        <v>31567.449999999997</v>
      </c>
      <c r="P134" s="38">
        <f t="shared" si="135"/>
        <v>32617.91</v>
      </c>
      <c r="Q134" s="38">
        <f t="shared" si="135"/>
        <v>35000.75</v>
      </c>
      <c r="R134" s="38">
        <f t="shared" si="135"/>
        <v>45724.54</v>
      </c>
      <c r="S134" s="38">
        <f t="shared" si="135"/>
        <v>30459.994952000001</v>
      </c>
      <c r="T134" s="252">
        <f t="shared" si="135"/>
        <v>44591.152719999998</v>
      </c>
      <c r="U134" s="252">
        <f t="shared" si="135"/>
        <v>57336.796505999999</v>
      </c>
      <c r="V134" s="252">
        <f t="shared" si="135"/>
        <v>62776.53</v>
      </c>
      <c r="W134" s="39"/>
      <c r="X134" s="40">
        <f t="shared" si="124"/>
        <v>13.385219492623834</v>
      </c>
      <c r="Y134" s="40">
        <f t="shared" si="124"/>
        <v>16.408086769612005</v>
      </c>
      <c r="Z134" s="40">
        <f t="shared" si="124"/>
        <v>32.697144155008637</v>
      </c>
      <c r="AA134" s="40">
        <f t="shared" si="124"/>
        <v>5.4421904860408432</v>
      </c>
      <c r="AB134" s="40">
        <f t="shared" si="124"/>
        <v>-7.6999083747397501</v>
      </c>
      <c r="AC134" s="40">
        <f t="shared" si="124"/>
        <v>-37.703883796515356</v>
      </c>
      <c r="AD134" s="253">
        <f t="shared" si="124"/>
        <v>11.334688670747672</v>
      </c>
      <c r="AE134" s="253">
        <f t="shared" si="124"/>
        <v>25.687855587790096</v>
      </c>
      <c r="AF134" s="253">
        <f t="shared" si="124"/>
        <v>0.79654482272657479</v>
      </c>
      <c r="AG134" s="253">
        <f t="shared" si="124"/>
        <v>4.7003003641583163</v>
      </c>
      <c r="AH134" s="253">
        <f t="shared" si="124"/>
        <v>11.688136118184399</v>
      </c>
      <c r="AI134" s="253">
        <f t="shared" si="124"/>
        <v>33.674882524391549</v>
      </c>
      <c r="AJ134" s="253">
        <f t="shared" si="124"/>
        <v>34.197489874859329</v>
      </c>
      <c r="AK134" s="253">
        <f t="shared" si="125"/>
        <v>3.3276682152026948</v>
      </c>
      <c r="AL134" s="253">
        <f t="shared" si="125"/>
        <v>7.3053117137180212</v>
      </c>
      <c r="AN134" s="37">
        <f t="shared" si="134"/>
        <v>24.681424664211189</v>
      </c>
      <c r="AO134" s="37">
        <f t="shared" si="134"/>
        <v>24.401157401948961</v>
      </c>
      <c r="AP134" s="37">
        <f t="shared" si="134"/>
        <v>24.883627707594496</v>
      </c>
      <c r="AQ134" s="37">
        <f t="shared" si="134"/>
        <v>25.682290891973391</v>
      </c>
      <c r="AR134" s="37">
        <f t="shared" si="134"/>
        <v>27.106644958339942</v>
      </c>
      <c r="AS134" s="37">
        <f t="shared" si="134"/>
        <v>25.142136838786211</v>
      </c>
      <c r="AT134" s="37">
        <f t="shared" si="134"/>
        <v>23.797056816574528</v>
      </c>
      <c r="AU134" s="37">
        <f t="shared" si="134"/>
        <v>24.009952978737019</v>
      </c>
      <c r="AV134" s="37">
        <f t="shared" si="134"/>
        <v>24.408311256736717</v>
      </c>
      <c r="AW134" s="37">
        <f t="shared" si="134"/>
        <v>24.526205103178921</v>
      </c>
      <c r="AX134" s="37">
        <f t="shared" si="134"/>
        <v>23.452398039875</v>
      </c>
      <c r="AY134" s="37">
        <f t="shared" si="134"/>
        <v>25.01477078799655</v>
      </c>
      <c r="AZ134" s="37">
        <f t="shared" si="134"/>
        <v>26.709051158640346</v>
      </c>
      <c r="BA134" s="79"/>
      <c r="BB134" s="253">
        <f t="shared" si="127"/>
        <v>30.638743455497377</v>
      </c>
      <c r="BC134" s="253">
        <f t="shared" si="127"/>
        <v>-33.383703910416592</v>
      </c>
      <c r="BD134" s="253">
        <f t="shared" si="127"/>
        <v>46.392515134255284</v>
      </c>
      <c r="BE134" s="253">
        <f t="shared" si="127"/>
        <v>28.583346714612578</v>
      </c>
      <c r="BF134" s="253">
        <f t="shared" si="127"/>
        <v>9.4873341823880288</v>
      </c>
    </row>
    <row r="135" spans="1:58" ht="11.7" customHeight="1">
      <c r="A135" s="84" t="s">
        <v>16</v>
      </c>
      <c r="B135" s="38">
        <f t="shared" ref="B135:N135" si="136">+B128+B129+B131+B133</f>
        <v>19430.784592627693</v>
      </c>
      <c r="C135" s="38">
        <f t="shared" si="136"/>
        <v>22325.577110449551</v>
      </c>
      <c r="D135" s="38">
        <f t="shared" si="136"/>
        <v>25644.097929741525</v>
      </c>
      <c r="E135" s="38">
        <f t="shared" si="136"/>
        <v>34012.908374066385</v>
      </c>
      <c r="F135" s="38">
        <f t="shared" si="136"/>
        <v>37065.100913745249</v>
      </c>
      <c r="G135" s="38">
        <f t="shared" si="136"/>
        <v>34637.274395877015</v>
      </c>
      <c r="H135" s="38">
        <f t="shared" si="136"/>
        <v>21437.29</v>
      </c>
      <c r="I135" s="38">
        <f t="shared" si="136"/>
        <v>23267.25</v>
      </c>
      <c r="J135" s="38">
        <f t="shared" si="136"/>
        <v>28810.240000000002</v>
      </c>
      <c r="K135" s="38">
        <f t="shared" si="136"/>
        <v>31538.19</v>
      </c>
      <c r="L135" s="38">
        <f t="shared" si="136"/>
        <v>30384.539999999997</v>
      </c>
      <c r="M135" s="38">
        <f t="shared" si="136"/>
        <v>35022.89</v>
      </c>
      <c r="N135" s="38">
        <f t="shared" si="136"/>
        <v>45437.189999999995</v>
      </c>
      <c r="O135" s="38">
        <f>+O134+O128</f>
        <v>59641.735999999997</v>
      </c>
      <c r="P135" s="38">
        <f>+P134+P128</f>
        <v>62583.68</v>
      </c>
      <c r="Q135" s="38">
        <f>+Q134+Q128</f>
        <v>66070.700000000012</v>
      </c>
      <c r="R135" s="38">
        <f>+R134+R128</f>
        <v>88587.81</v>
      </c>
      <c r="S135" s="38">
        <f>+S128+S129+S131+S133</f>
        <v>57191.591308000003</v>
      </c>
      <c r="T135" s="252">
        <f>+T128+T129+T131+T133</f>
        <v>87275.338193000003</v>
      </c>
      <c r="U135" s="252">
        <f>+U128+U129+U131+U133</f>
        <v>111505.90137999998</v>
      </c>
      <c r="V135" s="252">
        <f>+V128+V129+V131+V133</f>
        <v>122604.95</v>
      </c>
      <c r="W135" s="39"/>
      <c r="X135" s="40">
        <f t="shared" si="124"/>
        <v>14.897970300798779</v>
      </c>
      <c r="Y135" s="40">
        <f t="shared" si="124"/>
        <v>14.864210689266933</v>
      </c>
      <c r="Z135" s="40">
        <f t="shared" si="124"/>
        <v>32.634450497160493</v>
      </c>
      <c r="AA135" s="40">
        <f t="shared" si="124"/>
        <v>8.9736299704557219</v>
      </c>
      <c r="AB135" s="40">
        <f t="shared" si="124"/>
        <v>-6.5501683740671997</v>
      </c>
      <c r="AC135" s="40">
        <f t="shared" si="124"/>
        <v>-38.109189092107812</v>
      </c>
      <c r="AD135" s="253">
        <f t="shared" si="124"/>
        <v>8.5363401810583319</v>
      </c>
      <c r="AE135" s="253">
        <f t="shared" si="124"/>
        <v>23.823141969936291</v>
      </c>
      <c r="AF135" s="253">
        <f t="shared" si="124"/>
        <v>9.4686819686333745</v>
      </c>
      <c r="AG135" s="253">
        <f t="shared" si="124"/>
        <v>-3.6579461281703307</v>
      </c>
      <c r="AH135" s="253">
        <f t="shared" si="124"/>
        <v>15.265493570085331</v>
      </c>
      <c r="AI135" s="253">
        <f t="shared" si="124"/>
        <v>29.735695712147091</v>
      </c>
      <c r="AJ135" s="253">
        <f t="shared" si="124"/>
        <v>31.261937633027049</v>
      </c>
      <c r="AK135" s="253">
        <f t="shared" si="125"/>
        <v>4.932693441384739</v>
      </c>
      <c r="AL135" s="253">
        <f t="shared" si="125"/>
        <v>5.5717720658165382</v>
      </c>
      <c r="AN135" s="37">
        <f t="shared" si="134"/>
        <v>48.369801380175609</v>
      </c>
      <c r="AO135" s="37">
        <f t="shared" si="134"/>
        <v>47.186317668007675</v>
      </c>
      <c r="AP135" s="37">
        <f t="shared" si="134"/>
        <v>48.096571790853545</v>
      </c>
      <c r="AQ135" s="37">
        <f t="shared" si="134"/>
        <v>51.30281384582932</v>
      </c>
      <c r="AR135" s="37">
        <f t="shared" si="134"/>
        <v>54.82259434944892</v>
      </c>
      <c r="AS135" s="37">
        <f t="shared" si="134"/>
        <v>50.518587958937147</v>
      </c>
      <c r="AT135" s="37">
        <f t="shared" si="134"/>
        <v>46.614060879108465</v>
      </c>
      <c r="AU135" s="37">
        <f t="shared" si="134"/>
        <v>46.333328937520164</v>
      </c>
      <c r="AV135" s="37">
        <f t="shared" si="134"/>
        <v>51.154538555201981</v>
      </c>
      <c r="AW135" s="37">
        <f t="shared" si="134"/>
        <v>47.298216774970868</v>
      </c>
      <c r="AX135" s="37">
        <f t="shared" si="134"/>
        <v>46.676033088470973</v>
      </c>
      <c r="AY135" s="37">
        <f t="shared" si="134"/>
        <v>48.318437771701674</v>
      </c>
      <c r="AZ135" s="37">
        <f t="shared" si="134"/>
        <v>50.462554878969371</v>
      </c>
      <c r="BA135" s="79"/>
      <c r="BB135" s="253">
        <f t="shared" si="127"/>
        <v>34.080326074946953</v>
      </c>
      <c r="BC135" s="253">
        <f t="shared" si="127"/>
        <v>-35.440788853455118</v>
      </c>
      <c r="BD135" s="253">
        <f t="shared" si="127"/>
        <v>52.601695803473582</v>
      </c>
      <c r="BE135" s="253">
        <f t="shared" si="127"/>
        <v>27.763356394468165</v>
      </c>
      <c r="BF135" s="253">
        <f t="shared" si="127"/>
        <v>9.9537768697780962</v>
      </c>
    </row>
    <row r="136" spans="1:58" ht="11.7" customHeight="1">
      <c r="A136" s="82" t="s">
        <v>17</v>
      </c>
      <c r="B136" s="34">
        <v>3630.4771293375393</v>
      </c>
      <c r="C136" s="34">
        <v>3909.1337025316452</v>
      </c>
      <c r="D136" s="34">
        <v>4437.7432216905909</v>
      </c>
      <c r="E136" s="34">
        <v>6156.8314424635337</v>
      </c>
      <c r="F136" s="34">
        <v>6079.0138067061143</v>
      </c>
      <c r="G136" s="34">
        <v>5396.9640026420084</v>
      </c>
      <c r="H136" s="34">
        <v>3688.78</v>
      </c>
      <c r="I136" s="34">
        <v>3983.96</v>
      </c>
      <c r="J136" s="34">
        <v>5260.61</v>
      </c>
      <c r="K136" s="34">
        <v>5441.39</v>
      </c>
      <c r="L136" s="34">
        <v>5753.34</v>
      </c>
      <c r="M136" s="34">
        <v>6476.88</v>
      </c>
      <c r="N136" s="34">
        <v>7982.86</v>
      </c>
      <c r="O136" s="34">
        <v>9604.56</v>
      </c>
      <c r="P136" s="34">
        <v>11322.06</v>
      </c>
      <c r="Q136" s="34">
        <v>11598.48</v>
      </c>
      <c r="R136" s="105">
        <v>18077.29</v>
      </c>
      <c r="S136" s="34">
        <v>12129.770584</v>
      </c>
      <c r="T136" s="34">
        <v>16503.240000000002</v>
      </c>
      <c r="U136" s="34">
        <v>18720.41</v>
      </c>
      <c r="V136" s="34">
        <v>21290.74</v>
      </c>
      <c r="W136" s="41"/>
      <c r="X136" s="36">
        <f t="shared" si="124"/>
        <v>7.6754807499628264</v>
      </c>
      <c r="Y136" s="36">
        <f t="shared" si="124"/>
        <v>13.52242106266679</v>
      </c>
      <c r="Z136" s="36">
        <f t="shared" si="124"/>
        <v>38.737892998640945</v>
      </c>
      <c r="AA136" s="36">
        <f t="shared" si="124"/>
        <v>-1.2639234399160704</v>
      </c>
      <c r="AB136" s="36">
        <f t="shared" si="124"/>
        <v>-11.219744283385191</v>
      </c>
      <c r="AC136" s="36">
        <f t="shared" si="124"/>
        <v>-31.650831871507577</v>
      </c>
      <c r="AD136" s="37">
        <f t="shared" si="124"/>
        <v>8.0021036765542952</v>
      </c>
      <c r="AE136" s="37">
        <f t="shared" si="124"/>
        <v>32.044749445275556</v>
      </c>
      <c r="AF136" s="37">
        <f t="shared" si="124"/>
        <v>3.4364836017116041</v>
      </c>
      <c r="AG136" s="37">
        <f t="shared" si="124"/>
        <v>5.7329101571473418</v>
      </c>
      <c r="AH136" s="37">
        <f t="shared" si="124"/>
        <v>12.575999332561615</v>
      </c>
      <c r="AI136" s="37">
        <f t="shared" si="124"/>
        <v>23.251627326737555</v>
      </c>
      <c r="AJ136" s="37">
        <f t="shared" si="124"/>
        <v>20.314774404160918</v>
      </c>
      <c r="AK136" s="37">
        <f t="shared" si="125"/>
        <v>17.882130987780798</v>
      </c>
      <c r="AL136" s="37">
        <f t="shared" si="125"/>
        <v>2.4414285032935634</v>
      </c>
      <c r="AN136" s="37">
        <f t="shared" si="134"/>
        <v>8.4693900553865102</v>
      </c>
      <c r="AO136" s="37">
        <f t="shared" si="134"/>
        <v>8.165651291827313</v>
      </c>
      <c r="AP136" s="37">
        <f t="shared" si="134"/>
        <v>8.706179495735638</v>
      </c>
      <c r="AQ136" s="37">
        <f t="shared" si="134"/>
        <v>8.414128277093555</v>
      </c>
      <c r="AR136" s="37">
        <f t="shared" si="134"/>
        <v>8.5421146263933512</v>
      </c>
      <c r="AS136" s="37">
        <f t="shared" si="134"/>
        <v>8.6928878086347741</v>
      </c>
      <c r="AT136" s="37">
        <f t="shared" si="134"/>
        <v>7.9815428974173122</v>
      </c>
      <c r="AU136" s="37">
        <f t="shared" si="134"/>
        <v>8.4602409956323825</v>
      </c>
      <c r="AV136" s="37">
        <f t="shared" si="134"/>
        <v>8.8258645961892714</v>
      </c>
      <c r="AW136" s="37">
        <f t="shared" si="134"/>
        <v>8.9559599223852295</v>
      </c>
      <c r="AX136" s="37">
        <f t="shared" si="134"/>
        <v>8.6319280102257672</v>
      </c>
      <c r="AY136" s="37">
        <f t="shared" si="134"/>
        <v>8.4890664266475646</v>
      </c>
      <c r="AZ136" s="37">
        <f t="shared" si="134"/>
        <v>8.1263670140043214</v>
      </c>
      <c r="BA136" s="79"/>
      <c r="BB136" s="37">
        <f t="shared" si="127"/>
        <v>55.859129817010512</v>
      </c>
      <c r="BC136" s="37">
        <f t="shared" si="127"/>
        <v>-32.900503427228308</v>
      </c>
      <c r="BD136" s="37">
        <f t="shared" si="127"/>
        <v>36.055664744137104</v>
      </c>
      <c r="BE136" s="37">
        <f t="shared" si="127"/>
        <v>13.434755841883161</v>
      </c>
      <c r="BF136" s="37">
        <f t="shared" si="127"/>
        <v>13.730094586603613</v>
      </c>
    </row>
    <row r="137" spans="1:58" ht="11.7" hidden="1" customHeight="1">
      <c r="A137" s="305" t="s">
        <v>19</v>
      </c>
      <c r="B137" s="252">
        <f t="shared" ref="B137:U137" si="137">+B135+B136</f>
        <v>23061.261721965231</v>
      </c>
      <c r="C137" s="252">
        <f t="shared" si="137"/>
        <v>26234.710812981197</v>
      </c>
      <c r="D137" s="252">
        <f t="shared" si="137"/>
        <v>30081.841151432116</v>
      </c>
      <c r="E137" s="252">
        <f t="shared" si="137"/>
        <v>40169.739816529916</v>
      </c>
      <c r="F137" s="252">
        <f t="shared" si="137"/>
        <v>43144.114720451362</v>
      </c>
      <c r="G137" s="252">
        <f t="shared" si="137"/>
        <v>40034.238398519024</v>
      </c>
      <c r="H137" s="252">
        <f t="shared" si="137"/>
        <v>25126.07</v>
      </c>
      <c r="I137" s="252">
        <f t="shared" si="137"/>
        <v>27251.21</v>
      </c>
      <c r="J137" s="252">
        <f t="shared" si="137"/>
        <v>34070.85</v>
      </c>
      <c r="K137" s="252">
        <f t="shared" si="137"/>
        <v>36979.58</v>
      </c>
      <c r="L137" s="252">
        <f t="shared" si="137"/>
        <v>36137.879999999997</v>
      </c>
      <c r="M137" s="252">
        <f t="shared" si="137"/>
        <v>41499.769999999997</v>
      </c>
      <c r="N137" s="252">
        <f t="shared" si="137"/>
        <v>53420.049999999996</v>
      </c>
      <c r="O137" s="252">
        <f t="shared" si="137"/>
        <v>69246.296000000002</v>
      </c>
      <c r="P137" s="252">
        <f t="shared" si="137"/>
        <v>73905.740000000005</v>
      </c>
      <c r="Q137" s="252">
        <f t="shared" si="137"/>
        <v>77669.180000000008</v>
      </c>
      <c r="R137" s="252">
        <f t="shared" si="137"/>
        <v>106665.1</v>
      </c>
      <c r="S137" s="252">
        <f t="shared" si="137"/>
        <v>69321.361892000001</v>
      </c>
      <c r="T137" s="252">
        <f t="shared" si="137"/>
        <v>103778.57819300001</v>
      </c>
      <c r="U137" s="252">
        <f t="shared" si="137"/>
        <v>130226.31137999998</v>
      </c>
      <c r="V137" s="252">
        <f>+V135+V136</f>
        <v>143895.69</v>
      </c>
      <c r="W137" s="39"/>
      <c r="X137" s="40">
        <f t="shared" si="124"/>
        <v>13.760951717543456</v>
      </c>
      <c r="Y137" s="40">
        <f t="shared" si="124"/>
        <v>14.664275759987877</v>
      </c>
      <c r="Z137" s="40">
        <f t="shared" si="124"/>
        <v>33.53484454064921</v>
      </c>
      <c r="AA137" s="40">
        <f t="shared" si="124"/>
        <v>7.4045162291479061</v>
      </c>
      <c r="AB137" s="40">
        <f t="shared" si="124"/>
        <v>-7.2081124901565818</v>
      </c>
      <c r="AC137" s="40">
        <f t="shared" si="124"/>
        <v>-37.238546291592542</v>
      </c>
      <c r="AD137" s="253">
        <f t="shared" si="124"/>
        <v>8.4579084592218301</v>
      </c>
      <c r="AE137" s="253">
        <f t="shared" si="124"/>
        <v>25.025090629003266</v>
      </c>
      <c r="AF137" s="253">
        <f t="shared" si="124"/>
        <v>8.5372980128174181</v>
      </c>
      <c r="AG137" s="253">
        <f t="shared" si="124"/>
        <v>-2.2761210376105012</v>
      </c>
      <c r="AH137" s="253">
        <f t="shared" si="124"/>
        <v>14.837311983990208</v>
      </c>
      <c r="AI137" s="253">
        <f t="shared" si="124"/>
        <v>28.723725456791694</v>
      </c>
      <c r="AJ137" s="253">
        <f t="shared" si="124"/>
        <v>29.626041158703529</v>
      </c>
      <c r="AK137" s="253">
        <f t="shared" si="125"/>
        <v>6.7287988948896205</v>
      </c>
      <c r="AL137" s="253">
        <f t="shared" si="125"/>
        <v>5.0922161120367626</v>
      </c>
      <c r="AN137" s="37"/>
      <c r="AO137" s="37"/>
      <c r="AP137" s="37"/>
      <c r="AQ137" s="37"/>
      <c r="AR137" s="37"/>
      <c r="AS137" s="37"/>
      <c r="AT137" s="37"/>
      <c r="AU137" s="37"/>
      <c r="AV137" s="37"/>
      <c r="AW137" s="37"/>
      <c r="AX137" s="37"/>
      <c r="AY137" s="37"/>
      <c r="AZ137" s="37"/>
      <c r="BA137" s="79"/>
      <c r="BB137" s="253">
        <f t="shared" si="127"/>
        <v>37.332594473123052</v>
      </c>
      <c r="BC137" s="306">
        <f t="shared" si="127"/>
        <v>-35.010268689571376</v>
      </c>
      <c r="BD137" s="253">
        <f t="shared" si="127"/>
        <v>49.70649069861468</v>
      </c>
      <c r="BE137" s="253">
        <f t="shared" si="127"/>
        <v>25.484771180632638</v>
      </c>
      <c r="BF137" s="37">
        <f t="shared" si="127"/>
        <v>10.496633495294837</v>
      </c>
    </row>
    <row r="138" spans="1:58" ht="11.7" customHeight="1">
      <c r="A138" s="82" t="s">
        <v>20</v>
      </c>
      <c r="B138" s="34">
        <v>3520.6351084812623</v>
      </c>
      <c r="C138" s="34">
        <v>3693.4149230161865</v>
      </c>
      <c r="D138" s="34">
        <v>4774.4506592089492</v>
      </c>
      <c r="E138" s="34">
        <v>6370.0403388463092</v>
      </c>
      <c r="F138" s="34">
        <v>6228.8165680473367</v>
      </c>
      <c r="G138" s="34">
        <v>5054.0381607757272</v>
      </c>
      <c r="H138" s="34">
        <v>3372.02</v>
      </c>
      <c r="I138" s="34">
        <v>4177.2700000000004</v>
      </c>
      <c r="J138" s="34">
        <v>5833.03</v>
      </c>
      <c r="K138" s="34">
        <v>5100.5600000000004</v>
      </c>
      <c r="L138" s="34">
        <v>5911.98</v>
      </c>
      <c r="M138" s="43">
        <v>6286.92</v>
      </c>
      <c r="N138" s="43">
        <v>8356.2800000000007</v>
      </c>
      <c r="O138" s="43">
        <v>10168.030000000001</v>
      </c>
      <c r="P138" s="43">
        <v>11528.4</v>
      </c>
      <c r="Q138" s="34">
        <v>13139.59</v>
      </c>
      <c r="R138" s="105">
        <v>16669.22</v>
      </c>
      <c r="S138" s="34">
        <v>11201.31372</v>
      </c>
      <c r="T138" s="34">
        <v>15808.75</v>
      </c>
      <c r="U138" s="34">
        <v>22770.135751999998</v>
      </c>
      <c r="V138" s="34">
        <v>20770.87</v>
      </c>
      <c r="W138" s="41"/>
      <c r="X138" s="36">
        <f t="shared" si="124"/>
        <v>4.9076319814767233</v>
      </c>
      <c r="Y138" s="36">
        <f t="shared" si="124"/>
        <v>29.269274065475059</v>
      </c>
      <c r="Z138" s="36">
        <f t="shared" si="124"/>
        <v>33.419335406886866</v>
      </c>
      <c r="AA138" s="36">
        <f t="shared" si="124"/>
        <v>-2.2169996308775364</v>
      </c>
      <c r="AB138" s="36">
        <f t="shared" si="124"/>
        <v>-18.860378924914933</v>
      </c>
      <c r="AC138" s="36">
        <f t="shared" si="124"/>
        <v>-33.280677890994795</v>
      </c>
      <c r="AD138" s="37">
        <f t="shared" si="124"/>
        <v>23.880344719189097</v>
      </c>
      <c r="AE138" s="37">
        <f t="shared" si="124"/>
        <v>39.637370818740457</v>
      </c>
      <c r="AF138" s="37">
        <f t="shared" si="124"/>
        <v>-12.557281550069167</v>
      </c>
      <c r="AG138" s="37">
        <f t="shared" si="124"/>
        <v>15.908449268315628</v>
      </c>
      <c r="AH138" s="37">
        <f t="shared" si="124"/>
        <v>6.342037692955671</v>
      </c>
      <c r="AI138" s="37">
        <f t="shared" si="124"/>
        <v>32.91532260630008</v>
      </c>
      <c r="AJ138" s="37">
        <f t="shared" si="124"/>
        <v>21.68129837678967</v>
      </c>
      <c r="AK138" s="37">
        <f t="shared" si="125"/>
        <v>13.378894436778799</v>
      </c>
      <c r="AL138" s="37">
        <f t="shared" si="125"/>
        <v>13.97583359356025</v>
      </c>
      <c r="AN138" s="37">
        <f t="shared" ref="AN138:AZ138" si="138">+(C138/C$150)*100</f>
        <v>8.0020214195158239</v>
      </c>
      <c r="AO138" s="37">
        <f t="shared" si="138"/>
        <v>8.7852084371576442</v>
      </c>
      <c r="AP138" s="37">
        <f t="shared" si="138"/>
        <v>9.0076714139963414</v>
      </c>
      <c r="AQ138" s="37">
        <f t="shared" si="138"/>
        <v>8.6214743516817371</v>
      </c>
      <c r="AR138" s="37">
        <f t="shared" si="138"/>
        <v>7.9993443117979206</v>
      </c>
      <c r="AS138" s="37">
        <f t="shared" si="138"/>
        <v>7.9464190188822936</v>
      </c>
      <c r="AT138" s="37">
        <f t="shared" si="138"/>
        <v>8.3688239086472809</v>
      </c>
      <c r="AU138" s="37">
        <f t="shared" si="138"/>
        <v>9.3808207669364503</v>
      </c>
      <c r="AV138" s="37">
        <f t="shared" si="138"/>
        <v>8.2730427197350593</v>
      </c>
      <c r="AW138" s="37">
        <f t="shared" si="138"/>
        <v>9.2029075184054872</v>
      </c>
      <c r="AX138" s="37">
        <f t="shared" si="138"/>
        <v>8.3787627447240922</v>
      </c>
      <c r="AY138" s="37">
        <f t="shared" si="138"/>
        <v>8.8861656097772634</v>
      </c>
      <c r="AZ138" s="37">
        <f t="shared" si="138"/>
        <v>8.6031159771406873</v>
      </c>
      <c r="BA138" s="79"/>
      <c r="BB138" s="37">
        <f t="shared" si="127"/>
        <v>26.862558116349145</v>
      </c>
      <c r="BC138" s="37">
        <f t="shared" si="127"/>
        <v>-32.802412350427922</v>
      </c>
      <c r="BD138" s="37">
        <f t="shared" si="127"/>
        <v>41.132999174671816</v>
      </c>
      <c r="BE138" s="37">
        <f t="shared" si="127"/>
        <v>44.035017012730272</v>
      </c>
      <c r="BF138" s="37">
        <f t="shared" si="127"/>
        <v>-8.7802100689030596</v>
      </c>
    </row>
    <row r="139" spans="1:58" ht="11.7" hidden="1" customHeight="1">
      <c r="A139" s="305" t="s">
        <v>21</v>
      </c>
      <c r="B139" s="252">
        <f>B138+B137</f>
        <v>26581.896830446494</v>
      </c>
      <c r="C139" s="252">
        <f t="shared" ref="C139:U139" si="139">C138+C137</f>
        <v>29928.125735997382</v>
      </c>
      <c r="D139" s="252">
        <f t="shared" si="139"/>
        <v>34856.291810641065</v>
      </c>
      <c r="E139" s="252">
        <f t="shared" si="139"/>
        <v>46539.780155376226</v>
      </c>
      <c r="F139" s="252">
        <f t="shared" si="139"/>
        <v>49372.931288498701</v>
      </c>
      <c r="G139" s="252">
        <f t="shared" si="139"/>
        <v>45088.276559294754</v>
      </c>
      <c r="H139" s="252">
        <f t="shared" si="139"/>
        <v>28498.09</v>
      </c>
      <c r="I139" s="252">
        <f t="shared" si="139"/>
        <v>31428.48</v>
      </c>
      <c r="J139" s="252">
        <f t="shared" si="139"/>
        <v>39903.879999999997</v>
      </c>
      <c r="K139" s="252">
        <f t="shared" si="139"/>
        <v>42080.14</v>
      </c>
      <c r="L139" s="252">
        <f t="shared" si="139"/>
        <v>42049.86</v>
      </c>
      <c r="M139" s="252">
        <f t="shared" si="139"/>
        <v>47786.689999999995</v>
      </c>
      <c r="N139" s="252">
        <f t="shared" si="139"/>
        <v>61776.329999999994</v>
      </c>
      <c r="O139" s="252">
        <f t="shared" si="139"/>
        <v>79414.326000000001</v>
      </c>
      <c r="P139" s="252">
        <f t="shared" si="139"/>
        <v>85434.14</v>
      </c>
      <c r="Q139" s="252">
        <f t="shared" si="139"/>
        <v>90808.77</v>
      </c>
      <c r="R139" s="252">
        <f t="shared" si="139"/>
        <v>123334.32</v>
      </c>
      <c r="S139" s="252">
        <f t="shared" si="139"/>
        <v>80522.675612000006</v>
      </c>
      <c r="T139" s="252">
        <f t="shared" si="139"/>
        <v>119587.32819300001</v>
      </c>
      <c r="U139" s="252">
        <f t="shared" si="139"/>
        <v>152996.44713199997</v>
      </c>
      <c r="V139" s="252">
        <f>V138+V137</f>
        <v>164666.56</v>
      </c>
      <c r="W139" s="39"/>
      <c r="X139" s="40"/>
      <c r="Y139" s="40"/>
      <c r="Z139" s="40"/>
      <c r="AA139" s="40"/>
      <c r="AB139" s="40"/>
      <c r="AC139" s="40"/>
      <c r="AD139" s="253"/>
      <c r="AE139" s="253"/>
      <c r="AF139" s="37">
        <f t="shared" si="124"/>
        <v>5.4537553741641265</v>
      </c>
      <c r="AG139" s="37">
        <f t="shared" si="124"/>
        <v>-7.1957935501165693E-2</v>
      </c>
      <c r="AH139" s="253">
        <f t="shared" si="124"/>
        <v>13.642922949089463</v>
      </c>
      <c r="AI139" s="253">
        <f t="shared" si="124"/>
        <v>29.275181017978014</v>
      </c>
      <c r="AJ139" s="253">
        <f t="shared" si="124"/>
        <v>28.551382058468032</v>
      </c>
      <c r="AK139" s="253">
        <f t="shared" si="124"/>
        <v>7.5802620298005108</v>
      </c>
      <c r="AL139" s="253">
        <f t="shared" si="125"/>
        <v>6.2909628399138828</v>
      </c>
      <c r="AN139" s="37"/>
      <c r="AO139" s="37"/>
      <c r="AP139" s="37"/>
      <c r="AQ139" s="37"/>
      <c r="AR139" s="37"/>
      <c r="AS139" s="37"/>
      <c r="AT139" s="37"/>
      <c r="AU139" s="37"/>
      <c r="AV139" s="37"/>
      <c r="AW139" s="37"/>
      <c r="AX139" s="37"/>
      <c r="AY139" s="37"/>
      <c r="AZ139" s="37"/>
      <c r="BA139" s="79"/>
      <c r="BB139" s="253">
        <f t="shared" si="127"/>
        <v>35.817630830149994</v>
      </c>
      <c r="BC139" s="306">
        <f t="shared" si="127"/>
        <v>-34.711866403447146</v>
      </c>
      <c r="BD139" s="253">
        <f t="shared" si="127"/>
        <v>48.513853127824213</v>
      </c>
      <c r="BE139" s="253">
        <f t="shared" si="127"/>
        <v>27.937005905075107</v>
      </c>
      <c r="BF139" s="253">
        <f t="shared" si="127"/>
        <v>7.6277018759340676</v>
      </c>
    </row>
    <row r="140" spans="1:58" ht="11.7" customHeight="1">
      <c r="A140" s="82" t="s">
        <v>22</v>
      </c>
      <c r="B140" s="34">
        <v>3526.9203329369798</v>
      </c>
      <c r="C140" s="34">
        <v>4023.6226714229092</v>
      </c>
      <c r="D140" s="34">
        <v>4695.8685258964142</v>
      </c>
      <c r="E140" s="34">
        <v>5505.7342378292105</v>
      </c>
      <c r="F140" s="34">
        <v>5579.9289099526059</v>
      </c>
      <c r="G140" s="34">
        <v>4924.740398093636</v>
      </c>
      <c r="H140" s="34">
        <v>3371.31</v>
      </c>
      <c r="I140" s="34">
        <v>4401.25</v>
      </c>
      <c r="J140" s="34">
        <v>5383.58</v>
      </c>
      <c r="K140" s="34">
        <v>5044.37</v>
      </c>
      <c r="L140" s="34">
        <v>5476.63</v>
      </c>
      <c r="M140" s="34">
        <v>6340.76</v>
      </c>
      <c r="N140" s="34">
        <v>8018.85</v>
      </c>
      <c r="O140" s="34">
        <v>9670.8719999999994</v>
      </c>
      <c r="P140" s="34">
        <v>10534.15</v>
      </c>
      <c r="Q140" s="43">
        <v>11290.04</v>
      </c>
      <c r="R140" s="106">
        <v>15736.26</v>
      </c>
      <c r="S140" s="34">
        <v>12924.9105</v>
      </c>
      <c r="T140" s="43">
        <v>14994.47</v>
      </c>
      <c r="U140" s="34">
        <v>21272.921032999999</v>
      </c>
      <c r="V140" s="34" t="s">
        <v>9</v>
      </c>
      <c r="W140" s="41"/>
      <c r="X140" s="36">
        <f t="shared" si="124"/>
        <v>14.083174316339298</v>
      </c>
      <c r="Y140" s="36">
        <f t="shared" si="124"/>
        <v>16.707477548727812</v>
      </c>
      <c r="Z140" s="36">
        <f t="shared" si="124"/>
        <v>17.246345536860996</v>
      </c>
      <c r="AA140" s="36">
        <f t="shared" si="124"/>
        <v>1.3475890574887073</v>
      </c>
      <c r="AB140" s="36">
        <f t="shared" si="124"/>
        <v>-11.741879196531457</v>
      </c>
      <c r="AC140" s="36">
        <f t="shared" si="124"/>
        <v>-31.543396656907397</v>
      </c>
      <c r="AD140" s="37">
        <f t="shared" si="124"/>
        <v>30.550142229578412</v>
      </c>
      <c r="AE140" s="37">
        <f t="shared" si="124"/>
        <v>22.319341096279466</v>
      </c>
      <c r="AF140" s="37">
        <f t="shared" si="124"/>
        <v>-6.3008258445123921</v>
      </c>
      <c r="AG140" s="37">
        <f t="shared" si="124"/>
        <v>8.5691572981363429</v>
      </c>
      <c r="AH140" s="37">
        <f t="shared" si="124"/>
        <v>15.77849882135547</v>
      </c>
      <c r="AI140" s="37">
        <f t="shared" si="124"/>
        <v>26.465124054529742</v>
      </c>
      <c r="AJ140" s="37">
        <f t="shared" si="124"/>
        <v>20.601732168577769</v>
      </c>
      <c r="AK140" s="37">
        <f t="shared" si="124"/>
        <v>8.9265786994182186</v>
      </c>
      <c r="AL140" s="37">
        <f t="shared" si="124"/>
        <v>7.1756145488720113</v>
      </c>
      <c r="AN140" s="37">
        <f t="shared" ref="AN140:AZ141" si="140">+(C140/C$150)*100</f>
        <v>8.7174377836980703</v>
      </c>
      <c r="AO140" s="37">
        <f t="shared" si="140"/>
        <v>8.6406137036765145</v>
      </c>
      <c r="AP140" s="37">
        <f t="shared" si="140"/>
        <v>7.7854836498786062</v>
      </c>
      <c r="AQ140" s="37">
        <f t="shared" si="140"/>
        <v>7.7233313031153994</v>
      </c>
      <c r="AR140" s="37">
        <f t="shared" si="140"/>
        <v>7.7946966044524686</v>
      </c>
      <c r="AS140" s="37">
        <f t="shared" si="140"/>
        <v>7.9447458504243933</v>
      </c>
      <c r="AT140" s="37">
        <f t="shared" si="140"/>
        <v>8.8175497939883805</v>
      </c>
      <c r="AU140" s="37">
        <f t="shared" si="140"/>
        <v>8.6580043415624015</v>
      </c>
      <c r="AV140" s="37">
        <f t="shared" si="140"/>
        <v>8.1819032624162702</v>
      </c>
      <c r="AW140" s="37">
        <f t="shared" si="140"/>
        <v>8.5252181845210995</v>
      </c>
      <c r="AX140" s="37">
        <f t="shared" si="140"/>
        <v>8.4505168924110272</v>
      </c>
      <c r="AY140" s="37">
        <f t="shared" si="140"/>
        <v>8.5273386123924055</v>
      </c>
      <c r="AZ140" s="37">
        <f t="shared" si="140"/>
        <v>8.1824732436944529</v>
      </c>
      <c r="BA140" s="79"/>
      <c r="BB140" s="37">
        <f t="shared" si="127"/>
        <v>39.381791384264339</v>
      </c>
      <c r="BC140" s="37">
        <f t="shared" si="127"/>
        <v>-17.865423550449723</v>
      </c>
      <c r="BD140" s="37">
        <f t="shared" si="127"/>
        <v>16.012176641377906</v>
      </c>
      <c r="BE140" s="140">
        <f t="shared" si="127"/>
        <v>41.871776948434977</v>
      </c>
      <c r="BF140" s="140" t="s">
        <v>9</v>
      </c>
    </row>
    <row r="141" spans="1:58" ht="11.7" customHeight="1">
      <c r="A141" s="84" t="s">
        <v>23</v>
      </c>
      <c r="B141" s="38">
        <f t="shared" ref="B141:L141" si="141">+B136+B138+B140</f>
        <v>10678.03257075578</v>
      </c>
      <c r="C141" s="38">
        <f t="shared" si="141"/>
        <v>11626.171296970741</v>
      </c>
      <c r="D141" s="38">
        <f t="shared" si="141"/>
        <v>13908.062406795954</v>
      </c>
      <c r="E141" s="38">
        <f t="shared" si="141"/>
        <v>18032.606019139053</v>
      </c>
      <c r="F141" s="38">
        <f t="shared" si="141"/>
        <v>17887.759284706059</v>
      </c>
      <c r="G141" s="38">
        <f t="shared" si="141"/>
        <v>15375.742561511372</v>
      </c>
      <c r="H141" s="38">
        <f t="shared" si="141"/>
        <v>10432.11</v>
      </c>
      <c r="I141" s="38">
        <f t="shared" si="141"/>
        <v>12562.48</v>
      </c>
      <c r="J141" s="38">
        <f t="shared" si="141"/>
        <v>16477.22</v>
      </c>
      <c r="K141" s="38">
        <f t="shared" si="141"/>
        <v>15586.32</v>
      </c>
      <c r="L141" s="38">
        <f t="shared" si="141"/>
        <v>17141.95</v>
      </c>
      <c r="M141" s="38">
        <f>+M136+M138+M140</f>
        <v>19104.559999999998</v>
      </c>
      <c r="N141" s="38">
        <f>+N136+N138+N140</f>
        <v>24357.989999999998</v>
      </c>
      <c r="O141" s="38">
        <f>+O140+O138+O136</f>
        <v>29443.462</v>
      </c>
      <c r="P141" s="38">
        <f>+P140+P138+P136</f>
        <v>33384.61</v>
      </c>
      <c r="Q141" s="38">
        <f>+Q140+Q138+Q136</f>
        <v>36028.11</v>
      </c>
      <c r="R141" s="38">
        <f>+R140+R138+R136</f>
        <v>50482.770000000004</v>
      </c>
      <c r="S141" s="38">
        <f>+S136+S138+S140</f>
        <v>36255.994804000002</v>
      </c>
      <c r="T141" s="38">
        <f>+T136+T138+T140</f>
        <v>47306.46</v>
      </c>
      <c r="U141" s="38">
        <f>+U136+U138+U140</f>
        <v>62763.466784999997</v>
      </c>
      <c r="V141" s="38" t="s">
        <v>9</v>
      </c>
      <c r="W141" s="39"/>
      <c r="X141" s="40">
        <f t="shared" si="124"/>
        <v>8.8793391472850036</v>
      </c>
      <c r="Y141" s="40">
        <f t="shared" si="124"/>
        <v>19.62719326541982</v>
      </c>
      <c r="Z141" s="40">
        <f t="shared" si="124"/>
        <v>29.655774411306247</v>
      </c>
      <c r="AA141" s="40">
        <f t="shared" si="124"/>
        <v>-0.80324903832125205</v>
      </c>
      <c r="AB141" s="40">
        <f t="shared" si="124"/>
        <v>-14.043216275514448</v>
      </c>
      <c r="AC141" s="40">
        <f t="shared" si="124"/>
        <v>-32.152154874693949</v>
      </c>
      <c r="AD141" s="253">
        <f t="shared" si="124"/>
        <v>20.421276232708419</v>
      </c>
      <c r="AE141" s="253">
        <f t="shared" si="124"/>
        <v>31.162159064133842</v>
      </c>
      <c r="AF141" s="253">
        <f t="shared" si="124"/>
        <v>-5.4068586812581305</v>
      </c>
      <c r="AG141" s="253">
        <f t="shared" si="124"/>
        <v>9.9807395202972984</v>
      </c>
      <c r="AH141" s="253">
        <f t="shared" si="124"/>
        <v>11.449164184938109</v>
      </c>
      <c r="AI141" s="253">
        <f t="shared" si="124"/>
        <v>27.498304069813706</v>
      </c>
      <c r="AJ141" s="253">
        <f t="shared" si="124"/>
        <v>20.878044534873364</v>
      </c>
      <c r="AK141" s="253">
        <f t="shared" si="124"/>
        <v>13.385477563745729</v>
      </c>
      <c r="AL141" s="253">
        <f t="shared" si="124"/>
        <v>7.9183192494985066</v>
      </c>
      <c r="AN141" s="37">
        <f t="shared" si="140"/>
        <v>25.188849258600403</v>
      </c>
      <c r="AO141" s="37">
        <f t="shared" si="140"/>
        <v>25.59147343266147</v>
      </c>
      <c r="AP141" s="37">
        <f t="shared" si="140"/>
        <v>25.499334559610588</v>
      </c>
      <c r="AQ141" s="37">
        <f t="shared" si="140"/>
        <v>24.758933931890695</v>
      </c>
      <c r="AR141" s="37">
        <f t="shared" si="140"/>
        <v>24.336155542643738</v>
      </c>
      <c r="AS141" s="37">
        <f t="shared" si="140"/>
        <v>24.584052677941461</v>
      </c>
      <c r="AT141" s="37">
        <f t="shared" si="140"/>
        <v>25.167916600052969</v>
      </c>
      <c r="AU141" s="37">
        <f t="shared" si="140"/>
        <v>26.499066104131241</v>
      </c>
      <c r="AV141" s="37">
        <f t="shared" si="140"/>
        <v>25.280810578340603</v>
      </c>
      <c r="AW141" s="37">
        <f t="shared" si="140"/>
        <v>26.68408562531182</v>
      </c>
      <c r="AX141" s="37">
        <f t="shared" si="140"/>
        <v>25.461207647360883</v>
      </c>
      <c r="AY141" s="37">
        <f t="shared" si="140"/>
        <v>25.902570648817232</v>
      </c>
      <c r="AZ141" s="37">
        <f t="shared" si="140"/>
        <v>24.911956234839465</v>
      </c>
      <c r="BA141" s="79"/>
      <c r="BB141" s="37">
        <f t="shared" si="127"/>
        <v>40.120505904972539</v>
      </c>
      <c r="BC141" s="306">
        <f t="shared" si="127"/>
        <v>-28.181447246258472</v>
      </c>
      <c r="BD141" s="253">
        <f t="shared" si="127"/>
        <v>30.47900148855063</v>
      </c>
      <c r="BE141" s="253">
        <f t="shared" si="127"/>
        <v>32.674198798641861</v>
      </c>
      <c r="BF141" s="253" t="s">
        <v>9</v>
      </c>
    </row>
    <row r="142" spans="1:58" ht="11.7" hidden="1" customHeight="1">
      <c r="A142" s="305" t="s">
        <v>24</v>
      </c>
      <c r="B142" s="38">
        <f t="shared" ref="B142:V142" si="142">+B135+B136+B138+B140</f>
        <v>30108.817163383475</v>
      </c>
      <c r="C142" s="38">
        <f t="shared" si="142"/>
        <v>33951.748407420295</v>
      </c>
      <c r="D142" s="38">
        <f t="shared" si="142"/>
        <v>39552.160336537476</v>
      </c>
      <c r="E142" s="38">
        <f t="shared" si="142"/>
        <v>52045.514393205434</v>
      </c>
      <c r="F142" s="38">
        <f t="shared" si="142"/>
        <v>54952.860198451308</v>
      </c>
      <c r="G142" s="38">
        <f t="shared" si="142"/>
        <v>50013.01695738839</v>
      </c>
      <c r="H142" s="38">
        <f t="shared" si="142"/>
        <v>31869.4</v>
      </c>
      <c r="I142" s="38">
        <f t="shared" si="142"/>
        <v>35829.729999999996</v>
      </c>
      <c r="J142" s="38">
        <f t="shared" si="142"/>
        <v>45287.46</v>
      </c>
      <c r="K142" s="38">
        <f t="shared" si="142"/>
        <v>47124.51</v>
      </c>
      <c r="L142" s="38">
        <f t="shared" si="142"/>
        <v>47526.49</v>
      </c>
      <c r="M142" s="38">
        <f t="shared" si="142"/>
        <v>54127.45</v>
      </c>
      <c r="N142" s="38">
        <f t="shared" si="142"/>
        <v>69795.179999999993</v>
      </c>
      <c r="O142" s="38">
        <f t="shared" si="142"/>
        <v>89085.198000000004</v>
      </c>
      <c r="P142" s="38">
        <f t="shared" si="142"/>
        <v>95968.29</v>
      </c>
      <c r="Q142" s="38">
        <f t="shared" si="142"/>
        <v>102098.81</v>
      </c>
      <c r="R142" s="38">
        <f t="shared" si="142"/>
        <v>139070.58000000002</v>
      </c>
      <c r="S142" s="38">
        <f t="shared" si="142"/>
        <v>93447.586112000005</v>
      </c>
      <c r="T142" s="38">
        <f t="shared" si="142"/>
        <v>134581.798193</v>
      </c>
      <c r="U142" s="38">
        <f t="shared" si="142"/>
        <v>174269.36816499996</v>
      </c>
      <c r="V142" s="38" t="e">
        <f t="shared" si="142"/>
        <v>#VALUE!</v>
      </c>
      <c r="W142" s="39"/>
      <c r="X142" s="40">
        <f t="shared" si="124"/>
        <v>12.763474643269479</v>
      </c>
      <c r="Y142" s="40">
        <f t="shared" si="124"/>
        <v>16.495209206643359</v>
      </c>
      <c r="Z142" s="40">
        <f t="shared" si="124"/>
        <v>31.587033300749567</v>
      </c>
      <c r="AA142" s="40">
        <f t="shared" si="124"/>
        <v>5.5861601891006085</v>
      </c>
      <c r="AB142" s="40">
        <f t="shared" si="124"/>
        <v>-8.9892377270694546</v>
      </c>
      <c r="AC142" s="40">
        <f t="shared" si="124"/>
        <v>-36.277789386005125</v>
      </c>
      <c r="AD142" s="253">
        <f t="shared" si="124"/>
        <v>12.426747914927772</v>
      </c>
      <c r="AE142" s="253">
        <f t="shared" si="124"/>
        <v>26.396319481056672</v>
      </c>
      <c r="AF142" s="253">
        <f t="shared" si="124"/>
        <v>4.0564209165186105</v>
      </c>
      <c r="AG142" s="253">
        <f t="shared" si="124"/>
        <v>0.85301682712455307</v>
      </c>
      <c r="AH142" s="253">
        <f t="shared" si="124"/>
        <v>13.889012211926444</v>
      </c>
      <c r="AI142" s="253">
        <f t="shared" si="124"/>
        <v>28.945996901756878</v>
      </c>
      <c r="AJ142" s="253">
        <f t="shared" si="124"/>
        <v>27.638037469063057</v>
      </c>
      <c r="AK142" s="253">
        <f t="shared" si="124"/>
        <v>7.7264148865673343</v>
      </c>
      <c r="AL142" s="253">
        <f t="shared" si="124"/>
        <v>6.3880683921741177</v>
      </c>
      <c r="AN142" s="37">
        <f t="shared" ref="AN142:AZ142" si="143">+(C142/C$30)*100</f>
        <v>3.6085766835051465</v>
      </c>
      <c r="AO142" s="37">
        <f t="shared" si="143"/>
        <v>3.4768024532083524</v>
      </c>
      <c r="AP142" s="37">
        <f t="shared" si="143"/>
        <v>3.700856190480708</v>
      </c>
      <c r="AQ142" s="37">
        <f t="shared" si="143"/>
        <v>3.8944953693671955</v>
      </c>
      <c r="AR142" s="37">
        <f t="shared" si="143"/>
        <v>2.7682247228818242</v>
      </c>
      <c r="AS142" s="37">
        <f t="shared" si="143"/>
        <v>1.4176215400825936</v>
      </c>
      <c r="AT142" s="37">
        <f t="shared" si="143"/>
        <v>1.6181438878116987</v>
      </c>
      <c r="AU142" s="37">
        <f t="shared" si="143"/>
        <v>1.6360693756454259</v>
      </c>
      <c r="AV142" s="37">
        <f t="shared" si="143"/>
        <v>1.6335995581161715</v>
      </c>
      <c r="AW142" s="37">
        <f t="shared" si="143"/>
        <v>1.6254249241406937</v>
      </c>
      <c r="AX142" s="37">
        <f t="shared" si="143"/>
        <v>1.6275847898563056</v>
      </c>
      <c r="AY142" s="37">
        <f t="shared" si="143"/>
        <v>1.801775270306704</v>
      </c>
      <c r="AZ142" s="37">
        <f t="shared" si="143"/>
        <v>2.007015081682832</v>
      </c>
      <c r="BA142" s="79"/>
      <c r="BB142" s="253">
        <f t="shared" si="127"/>
        <v>36.211754084107369</v>
      </c>
      <c r="BC142" s="306">
        <f t="shared" si="127"/>
        <v>-32.805640048384063</v>
      </c>
      <c r="BD142" s="253">
        <f t="shared" si="127"/>
        <v>44.018485433855183</v>
      </c>
      <c r="BE142" s="253">
        <f t="shared" si="127"/>
        <v>29.489552454251754</v>
      </c>
      <c r="BF142" s="253" t="e">
        <f t="shared" si="127"/>
        <v>#VALUE!</v>
      </c>
    </row>
    <row r="143" spans="1:58" ht="11.7" customHeight="1">
      <c r="A143" s="82" t="s">
        <v>25</v>
      </c>
      <c r="B143" s="34">
        <v>3540.1030110935026</v>
      </c>
      <c r="C143" s="34">
        <v>3768.8884493670885</v>
      </c>
      <c r="D143" s="34">
        <v>4667.5200000000004</v>
      </c>
      <c r="E143" s="34">
        <v>6098.6814932486095</v>
      </c>
      <c r="F143" s="34">
        <v>5992.9823182711198</v>
      </c>
      <c r="G143" s="34">
        <v>4744.7533948940791</v>
      </c>
      <c r="H143" s="34">
        <v>3618.03</v>
      </c>
      <c r="I143" s="34">
        <v>4431.49</v>
      </c>
      <c r="J143" s="34">
        <v>5992.04</v>
      </c>
      <c r="K143" s="34">
        <v>5061.1400000000003</v>
      </c>
      <c r="L143" s="34">
        <v>5799.23</v>
      </c>
      <c r="M143" s="34">
        <v>6984.05</v>
      </c>
      <c r="N143" s="34">
        <v>8213.7000000000007</v>
      </c>
      <c r="O143" s="34">
        <v>9759.5</v>
      </c>
      <c r="P143" s="34">
        <v>10826.08</v>
      </c>
      <c r="Q143" s="34">
        <v>13005.12</v>
      </c>
      <c r="R143" s="105">
        <v>15825.51</v>
      </c>
      <c r="S143" s="34">
        <v>13049.715904999999</v>
      </c>
      <c r="T143" s="34">
        <v>14979.67</v>
      </c>
      <c r="U143" s="34">
        <v>18085.28</v>
      </c>
      <c r="V143" s="34" t="s">
        <v>9</v>
      </c>
      <c r="W143" s="35"/>
      <c r="X143" s="36">
        <f t="shared" si="124"/>
        <v>6.4626774293473632</v>
      </c>
      <c r="Y143" s="36">
        <f t="shared" si="124"/>
        <v>23.843410668835794</v>
      </c>
      <c r="Z143" s="36">
        <f t="shared" si="124"/>
        <v>30.662139492677241</v>
      </c>
      <c r="AA143" s="36">
        <f t="shared" si="124"/>
        <v>-1.7331479778785241</v>
      </c>
      <c r="AB143" s="36">
        <f t="shared" si="124"/>
        <v>-20.828176308338165</v>
      </c>
      <c r="AC143" s="36">
        <f t="shared" si="124"/>
        <v>-23.746721928827064</v>
      </c>
      <c r="AD143" s="37">
        <f t="shared" si="124"/>
        <v>22.483506217471927</v>
      </c>
      <c r="AE143" s="37">
        <f t="shared" si="124"/>
        <v>35.215017973638666</v>
      </c>
      <c r="AF143" s="37">
        <f t="shared" si="124"/>
        <v>-15.53561057669841</v>
      </c>
      <c r="AG143" s="37">
        <f t="shared" si="124"/>
        <v>14.583473288626658</v>
      </c>
      <c r="AH143" s="37">
        <f t="shared" si="124"/>
        <v>20.430643378517498</v>
      </c>
      <c r="AI143" s="37">
        <f t="shared" si="124"/>
        <v>17.606546344885853</v>
      </c>
      <c r="AJ143" s="73">
        <f t="shared" si="124"/>
        <v>18.819776714513537</v>
      </c>
      <c r="AK143" s="37">
        <f t="shared" ref="AJ143:AL150" si="144">((P143/O143)-1)*100</f>
        <v>10.928633639018393</v>
      </c>
      <c r="AL143" s="37">
        <f t="shared" si="144"/>
        <v>20.127691648315938</v>
      </c>
      <c r="AN143" s="37">
        <f t="shared" ref="AN143:AZ143" si="145">+(C143/C$150)*100</f>
        <v>8.1655396775655067</v>
      </c>
      <c r="AO143" s="37">
        <f t="shared" si="145"/>
        <v>8.5884511143730116</v>
      </c>
      <c r="AP143" s="37">
        <f t="shared" si="145"/>
        <v>8.6239515022841129</v>
      </c>
      <c r="AQ143" s="37">
        <f t="shared" si="145"/>
        <v>8.2950497550538813</v>
      </c>
      <c r="AR143" s="37">
        <f t="shared" si="145"/>
        <v>7.5098198456230598</v>
      </c>
      <c r="AS143" s="37">
        <f t="shared" si="145"/>
        <v>8.5261601066680228</v>
      </c>
      <c r="AT143" s="37">
        <f t="shared" si="145"/>
        <v>8.8781331977419065</v>
      </c>
      <c r="AU143" s="37">
        <f t="shared" si="145"/>
        <v>9.6365445177401607</v>
      </c>
      <c r="AV143" s="37">
        <f t="shared" si="145"/>
        <v>8.2091039867308488</v>
      </c>
      <c r="AW143" s="37">
        <f t="shared" si="145"/>
        <v>9.0273947760247246</v>
      </c>
      <c r="AX143" s="37">
        <f t="shared" si="145"/>
        <v>9.3078483497945417</v>
      </c>
      <c r="AY143" s="37">
        <f t="shared" si="145"/>
        <v>8.7345443748925966</v>
      </c>
      <c r="AZ143" s="37">
        <f t="shared" si="145"/>
        <v>8.2574609220177901</v>
      </c>
      <c r="BA143" s="79"/>
      <c r="BB143" s="37">
        <f t="shared" si="127"/>
        <v>21.686766442754845</v>
      </c>
      <c r="BC143" s="73">
        <f t="shared" si="127"/>
        <v>-17.539997731510717</v>
      </c>
      <c r="BD143" s="37">
        <f t="shared" si="127"/>
        <v>14.789242226036038</v>
      </c>
      <c r="BE143" s="37">
        <f t="shared" si="127"/>
        <v>20.732165661860357</v>
      </c>
      <c r="BF143" s="37" t="s">
        <v>9</v>
      </c>
    </row>
    <row r="144" spans="1:58" ht="11.7" hidden="1" customHeight="1">
      <c r="A144" s="305" t="s">
        <v>26</v>
      </c>
      <c r="B144" s="252">
        <f t="shared" ref="B144:U144" si="146">+B135+B141+B143</f>
        <v>33648.920174476974</v>
      </c>
      <c r="C144" s="252">
        <f t="shared" si="146"/>
        <v>37720.636856787387</v>
      </c>
      <c r="D144" s="252">
        <f t="shared" si="146"/>
        <v>44219.68033653748</v>
      </c>
      <c r="E144" s="252">
        <f t="shared" si="146"/>
        <v>58144.195886454043</v>
      </c>
      <c r="F144" s="252">
        <f t="shared" si="146"/>
        <v>60945.842516722427</v>
      </c>
      <c r="G144" s="252">
        <f t="shared" si="146"/>
        <v>54757.770352282467</v>
      </c>
      <c r="H144" s="252">
        <f t="shared" si="146"/>
        <v>35487.43</v>
      </c>
      <c r="I144" s="252">
        <f t="shared" si="146"/>
        <v>40261.219999999994</v>
      </c>
      <c r="J144" s="252">
        <f t="shared" si="146"/>
        <v>51279.500000000007</v>
      </c>
      <c r="K144" s="252">
        <f t="shared" si="146"/>
        <v>52185.649999999994</v>
      </c>
      <c r="L144" s="252">
        <f t="shared" si="146"/>
        <v>53325.72</v>
      </c>
      <c r="M144" s="252">
        <f t="shared" si="146"/>
        <v>61111.5</v>
      </c>
      <c r="N144" s="252">
        <f t="shared" si="146"/>
        <v>78008.87999999999</v>
      </c>
      <c r="O144" s="252">
        <f t="shared" si="146"/>
        <v>98844.698000000004</v>
      </c>
      <c r="P144" s="252">
        <f t="shared" si="146"/>
        <v>106794.37000000001</v>
      </c>
      <c r="Q144" s="252">
        <f t="shared" si="146"/>
        <v>115103.93000000001</v>
      </c>
      <c r="R144" s="252">
        <f t="shared" si="146"/>
        <v>154896.09000000003</v>
      </c>
      <c r="S144" s="252">
        <f t="shared" si="146"/>
        <v>106497.30201700001</v>
      </c>
      <c r="T144" s="252">
        <f t="shared" si="146"/>
        <v>149561.46819300001</v>
      </c>
      <c r="U144" s="252">
        <f t="shared" si="146"/>
        <v>192354.64816499999</v>
      </c>
      <c r="V144" s="252" t="s">
        <v>9</v>
      </c>
      <c r="W144" s="39"/>
      <c r="X144" s="40">
        <f t="shared" ref="X144:AI150" si="147">((C144/B144)-1)*100</f>
        <v>12.100586471119069</v>
      </c>
      <c r="Y144" s="40">
        <f t="shared" si="147"/>
        <v>17.229410798191935</v>
      </c>
      <c r="Z144" s="40">
        <f t="shared" si="147"/>
        <v>31.489407982922767</v>
      </c>
      <c r="AA144" s="40">
        <f t="shared" si="147"/>
        <v>4.8184459128810309</v>
      </c>
      <c r="AB144" s="40">
        <f t="shared" si="147"/>
        <v>-10.153395061758419</v>
      </c>
      <c r="AC144" s="40">
        <f t="shared" si="147"/>
        <v>-35.191974085700181</v>
      </c>
      <c r="AD144" s="253">
        <f t="shared" si="147"/>
        <v>13.452058940306454</v>
      </c>
      <c r="AE144" s="253">
        <f t="shared" si="147"/>
        <v>27.366979937518067</v>
      </c>
      <c r="AF144" s="253">
        <f t="shared" si="147"/>
        <v>1.767080412250488</v>
      </c>
      <c r="AG144" s="253">
        <f t="shared" si="147"/>
        <v>2.1846427130830071</v>
      </c>
      <c r="AH144" s="253">
        <f t="shared" si="147"/>
        <v>14.600421710199129</v>
      </c>
      <c r="AI144" s="253">
        <f t="shared" si="147"/>
        <v>27.650082226749451</v>
      </c>
      <c r="AJ144" s="253">
        <f t="shared" si="144"/>
        <v>26.709546400358541</v>
      </c>
      <c r="AK144" s="253">
        <f t="shared" si="144"/>
        <v>8.042588182119804</v>
      </c>
      <c r="AL144" s="253">
        <f t="shared" si="144"/>
        <v>7.7808970641429775</v>
      </c>
      <c r="AN144" s="37"/>
      <c r="AO144" s="37"/>
      <c r="AP144" s="37"/>
      <c r="AQ144" s="37"/>
      <c r="AR144" s="37"/>
      <c r="AS144" s="37"/>
      <c r="AT144" s="37"/>
      <c r="AU144" s="37"/>
      <c r="AV144" s="37"/>
      <c r="AW144" s="37"/>
      <c r="AX144" s="37"/>
      <c r="AY144" s="37"/>
      <c r="AZ144" s="37"/>
      <c r="BA144" s="79"/>
      <c r="BB144" s="253">
        <f t="shared" si="127"/>
        <v>34.57063542487213</v>
      </c>
      <c r="BC144" s="306">
        <f t="shared" si="127"/>
        <v>-31.245971401214845</v>
      </c>
      <c r="BD144" s="253">
        <f t="shared" si="127"/>
        <v>40.436861179005</v>
      </c>
      <c r="BE144" s="253">
        <f t="shared" si="127"/>
        <v>28.612436404260212</v>
      </c>
      <c r="BF144" s="253" t="s">
        <v>9</v>
      </c>
    </row>
    <row r="145" spans="1:58" ht="11.7" customHeight="1">
      <c r="A145" s="82" t="s">
        <v>27</v>
      </c>
      <c r="B145" s="34">
        <v>3548.1442080378251</v>
      </c>
      <c r="C145" s="34">
        <v>4472.9539188656954</v>
      </c>
      <c r="D145" s="34">
        <v>5007.8138788608103</v>
      </c>
      <c r="E145" s="34">
        <v>6501.9157392686811</v>
      </c>
      <c r="F145" s="34">
        <v>5805.6841282251762</v>
      </c>
      <c r="G145" s="34">
        <v>4032.4198338129386</v>
      </c>
      <c r="H145" s="34">
        <v>3395.77</v>
      </c>
      <c r="I145" s="34">
        <v>4778.9399999999996</v>
      </c>
      <c r="J145" s="34">
        <v>5704.55</v>
      </c>
      <c r="K145" s="34">
        <v>5070.55</v>
      </c>
      <c r="L145" s="34">
        <v>5842.41</v>
      </c>
      <c r="M145" s="34">
        <v>6597.29</v>
      </c>
      <c r="N145" s="34">
        <v>8529.98</v>
      </c>
      <c r="O145" s="34">
        <v>9786.64</v>
      </c>
      <c r="P145" s="34">
        <v>10915.17</v>
      </c>
      <c r="Q145" s="34">
        <v>12814.62</v>
      </c>
      <c r="R145" s="105">
        <v>13072.51</v>
      </c>
      <c r="S145" s="34">
        <v>12780.928309999999</v>
      </c>
      <c r="T145" s="34">
        <v>17291.18</v>
      </c>
      <c r="U145" s="34">
        <v>16871.54</v>
      </c>
      <c r="V145" s="34" t="s">
        <v>9</v>
      </c>
      <c r="W145" s="35"/>
      <c r="X145" s="36">
        <f t="shared" si="147"/>
        <v>26.064603257467468</v>
      </c>
      <c r="Y145" s="36">
        <f t="shared" si="147"/>
        <v>11.957645209337443</v>
      </c>
      <c r="Z145" s="36">
        <f t="shared" si="147"/>
        <v>29.835411150458981</v>
      </c>
      <c r="AA145" s="36">
        <f t="shared" si="147"/>
        <v>-10.708099565772212</v>
      </c>
      <c r="AB145" s="36">
        <f t="shared" si="147"/>
        <v>-30.5435889250546</v>
      </c>
      <c r="AC145" s="36">
        <f t="shared" si="147"/>
        <v>-15.788282471841264</v>
      </c>
      <c r="AD145" s="37">
        <f t="shared" si="147"/>
        <v>40.732146170088072</v>
      </c>
      <c r="AE145" s="37">
        <f t="shared" si="147"/>
        <v>19.36852105278577</v>
      </c>
      <c r="AF145" s="37">
        <f t="shared" si="147"/>
        <v>-11.113935367382178</v>
      </c>
      <c r="AG145" s="37">
        <f t="shared" si="147"/>
        <v>15.222411769926335</v>
      </c>
      <c r="AH145" s="37">
        <f t="shared" si="147"/>
        <v>12.920695397960769</v>
      </c>
      <c r="AI145" s="37">
        <f t="shared" si="147"/>
        <v>29.29521060920468</v>
      </c>
      <c r="AJ145" s="73">
        <f t="shared" si="144"/>
        <v>14.732273698179821</v>
      </c>
      <c r="AK145" s="37">
        <f t="shared" si="144"/>
        <v>11.531332510442805</v>
      </c>
      <c r="AL145" s="37">
        <f>((Q145/P145)-1)*100</f>
        <v>17.401927775746962</v>
      </c>
      <c r="AN145" s="37">
        <f t="shared" ref="AN145:AZ145" si="148">+(C145/C$150)*100</f>
        <v>9.6909428843810623</v>
      </c>
      <c r="AO145" s="37">
        <f t="shared" si="148"/>
        <v>9.2146074764488972</v>
      </c>
      <c r="AP145" s="37">
        <f t="shared" si="148"/>
        <v>9.1941522228147452</v>
      </c>
      <c r="AQ145" s="37">
        <f t="shared" si="148"/>
        <v>8.0358052382252652</v>
      </c>
      <c r="AR145" s="37">
        <f t="shared" si="148"/>
        <v>6.3823646823121081</v>
      </c>
      <c r="AS145" s="37">
        <f t="shared" si="148"/>
        <v>8.0023876820866793</v>
      </c>
      <c r="AT145" s="37">
        <f t="shared" si="148"/>
        <v>9.5742212808822096</v>
      </c>
      <c r="AU145" s="37">
        <f t="shared" si="148"/>
        <v>9.1741961049450005</v>
      </c>
      <c r="AV145" s="37">
        <f t="shared" si="148"/>
        <v>8.2243668857052175</v>
      </c>
      <c r="AW145" s="37">
        <f t="shared" si="148"/>
        <v>9.0946110972309473</v>
      </c>
      <c r="AX145" s="37">
        <f t="shared" si="148"/>
        <v>8.7924019501028816</v>
      </c>
      <c r="AY145" s="37">
        <f t="shared" si="148"/>
        <v>9.0708802156088417</v>
      </c>
      <c r="AZ145" s="37">
        <f t="shared" si="148"/>
        <v>8.2804239313342052</v>
      </c>
      <c r="BA145" s="79"/>
      <c r="BB145" s="37">
        <f t="shared" si="127"/>
        <v>2.012467010336616</v>
      </c>
      <c r="BC145" s="73">
        <f t="shared" si="127"/>
        <v>-2.2304950617746733</v>
      </c>
      <c r="BD145" s="37">
        <f t="shared" si="127"/>
        <v>35.288920965710368</v>
      </c>
      <c r="BE145" s="140">
        <f t="shared" si="127"/>
        <v>-2.4269020390742524</v>
      </c>
      <c r="BF145" s="140" t="s">
        <v>9</v>
      </c>
    </row>
    <row r="146" spans="1:58" ht="11.7" hidden="1" customHeight="1">
      <c r="A146" s="305" t="s">
        <v>28</v>
      </c>
      <c r="B146" s="252">
        <f t="shared" ref="B146:U146" si="149">+B135+B141+B143+B145</f>
        <v>37197.0643825148</v>
      </c>
      <c r="C146" s="252">
        <f t="shared" si="149"/>
        <v>42193.59077565308</v>
      </c>
      <c r="D146" s="252">
        <f t="shared" si="149"/>
        <v>49227.494215398292</v>
      </c>
      <c r="E146" s="252">
        <f t="shared" si="149"/>
        <v>64646.111625722726</v>
      </c>
      <c r="F146" s="252">
        <f t="shared" si="149"/>
        <v>66751.526644947604</v>
      </c>
      <c r="G146" s="252">
        <f t="shared" si="149"/>
        <v>58790.190186095402</v>
      </c>
      <c r="H146" s="252">
        <f t="shared" si="149"/>
        <v>38883.199999999997</v>
      </c>
      <c r="I146" s="252">
        <f t="shared" si="149"/>
        <v>45040.159999999996</v>
      </c>
      <c r="J146" s="252">
        <f t="shared" si="149"/>
        <v>56984.05000000001</v>
      </c>
      <c r="K146" s="252">
        <f t="shared" si="149"/>
        <v>57256.2</v>
      </c>
      <c r="L146" s="252">
        <f t="shared" si="149"/>
        <v>59168.130000000005</v>
      </c>
      <c r="M146" s="252">
        <f t="shared" si="149"/>
        <v>67708.789999999994</v>
      </c>
      <c r="N146" s="252">
        <f t="shared" si="149"/>
        <v>86538.859999999986</v>
      </c>
      <c r="O146" s="252">
        <f t="shared" si="149"/>
        <v>108631.338</v>
      </c>
      <c r="P146" s="252">
        <f t="shared" si="149"/>
        <v>117709.54000000001</v>
      </c>
      <c r="Q146" s="252">
        <f t="shared" si="149"/>
        <v>127918.55</v>
      </c>
      <c r="R146" s="252">
        <f t="shared" si="149"/>
        <v>167968.60000000003</v>
      </c>
      <c r="S146" s="252">
        <f t="shared" si="149"/>
        <v>119278.23032700001</v>
      </c>
      <c r="T146" s="252">
        <f t="shared" si="149"/>
        <v>166852.648193</v>
      </c>
      <c r="U146" s="252">
        <f t="shared" si="149"/>
        <v>209226.188165</v>
      </c>
      <c r="V146" s="252" t="s">
        <v>34</v>
      </c>
      <c r="W146" s="39"/>
      <c r="X146" s="40">
        <f t="shared" si="147"/>
        <v>13.432582587046827</v>
      </c>
      <c r="Y146" s="40">
        <f t="shared" si="147"/>
        <v>16.670549508680299</v>
      </c>
      <c r="Z146" s="40">
        <f t="shared" si="147"/>
        <v>31.32115021507942</v>
      </c>
      <c r="AA146" s="40">
        <f t="shared" si="147"/>
        <v>3.2568316427358468</v>
      </c>
      <c r="AB146" s="40">
        <f t="shared" si="147"/>
        <v>-11.926823039117407</v>
      </c>
      <c r="AC146" s="40">
        <f t="shared" si="147"/>
        <v>-33.861074650518233</v>
      </c>
      <c r="AD146" s="253">
        <f t="shared" si="147"/>
        <v>15.834499218171349</v>
      </c>
      <c r="AE146" s="253">
        <f t="shared" si="147"/>
        <v>26.518311657862714</v>
      </c>
      <c r="AF146" s="253">
        <f t="shared" si="147"/>
        <v>0.47758978170204802</v>
      </c>
      <c r="AG146" s="253">
        <f t="shared" si="147"/>
        <v>3.3392540895134548</v>
      </c>
      <c r="AH146" s="253">
        <f t="shared" si="147"/>
        <v>14.434561308596351</v>
      </c>
      <c r="AI146" s="253">
        <f t="shared" si="147"/>
        <v>27.810377352777959</v>
      </c>
      <c r="AJ146" s="253">
        <f t="shared" si="144"/>
        <v>25.52896814217338</v>
      </c>
      <c r="AK146" s="253">
        <f t="shared" si="144"/>
        <v>8.356890531901584</v>
      </c>
      <c r="AL146" s="253">
        <f>((Q146/P146)-1)*100</f>
        <v>8.6730523286387751</v>
      </c>
      <c r="AN146" s="37"/>
      <c r="AO146" s="37"/>
      <c r="AP146" s="37"/>
      <c r="AQ146" s="37"/>
      <c r="AR146" s="37"/>
      <c r="AS146" s="37"/>
      <c r="AT146" s="37"/>
      <c r="AU146" s="37"/>
      <c r="AV146" s="37"/>
      <c r="AW146" s="37"/>
      <c r="AX146" s="37"/>
      <c r="AY146" s="37"/>
      <c r="AZ146" s="37"/>
      <c r="BA146" s="79"/>
      <c r="BB146" s="253">
        <f t="shared" si="127"/>
        <v>31.309024375276316</v>
      </c>
      <c r="BC146" s="306">
        <f t="shared" si="127"/>
        <v>-28.987780854874067</v>
      </c>
      <c r="BD146" s="253">
        <f t="shared" si="127"/>
        <v>39.885247907832991</v>
      </c>
      <c r="BE146" s="253">
        <f t="shared" si="127"/>
        <v>25.395785101945844</v>
      </c>
      <c r="BF146" s="253" t="s">
        <v>9</v>
      </c>
    </row>
    <row r="147" spans="1:58" ht="11.7" customHeight="1">
      <c r="A147" s="82" t="s">
        <v>29</v>
      </c>
      <c r="B147" s="34">
        <v>3418.6985495883964</v>
      </c>
      <c r="C147" s="34">
        <v>3962.4331761006288</v>
      </c>
      <c r="D147" s="34">
        <v>5118.9756875249104</v>
      </c>
      <c r="E147" s="34">
        <v>6071.8358445678041</v>
      </c>
      <c r="F147" s="34">
        <v>5496.169212690952</v>
      </c>
      <c r="G147" s="34">
        <v>4390.465174891162</v>
      </c>
      <c r="H147" s="34">
        <v>3551.26</v>
      </c>
      <c r="I147" s="34">
        <v>4874.5</v>
      </c>
      <c r="J147" s="34">
        <v>5196.33</v>
      </c>
      <c r="K147" s="34">
        <v>4396.57</v>
      </c>
      <c r="L147" s="34">
        <v>5072.22</v>
      </c>
      <c r="M147" s="34">
        <v>7325.2</v>
      </c>
      <c r="N147" s="34">
        <v>7498.1</v>
      </c>
      <c r="O147" s="34">
        <v>9558.7459999999992</v>
      </c>
      <c r="P147" s="34">
        <v>11062.79</v>
      </c>
      <c r="Q147" s="34">
        <v>12040.35</v>
      </c>
      <c r="R147" s="105">
        <v>11254.67</v>
      </c>
      <c r="S147" s="34">
        <v>14425.510229</v>
      </c>
      <c r="T147" s="34">
        <v>16074.47</v>
      </c>
      <c r="U147" s="34">
        <v>19553.54</v>
      </c>
      <c r="V147" s="34" t="s">
        <v>9</v>
      </c>
      <c r="W147" s="35"/>
      <c r="X147" s="36">
        <f t="shared" si="147"/>
        <v>15.904725690941568</v>
      </c>
      <c r="Y147" s="36">
        <f t="shared" si="147"/>
        <v>29.187684940656023</v>
      </c>
      <c r="Z147" s="36">
        <f t="shared" si="147"/>
        <v>18.614273933065185</v>
      </c>
      <c r="AA147" s="36">
        <f t="shared" si="147"/>
        <v>-9.480932070847647</v>
      </c>
      <c r="AB147" s="36">
        <f t="shared" si="147"/>
        <v>-20.117721907954721</v>
      </c>
      <c r="AC147" s="36">
        <f t="shared" si="147"/>
        <v>-19.114265606535994</v>
      </c>
      <c r="AD147" s="37">
        <f t="shared" si="147"/>
        <v>37.261141116110899</v>
      </c>
      <c r="AE147" s="37">
        <f t="shared" si="147"/>
        <v>6.6023181864806713</v>
      </c>
      <c r="AF147" s="37">
        <f>((K147/J147)-1)*100</f>
        <v>-15.390862397114891</v>
      </c>
      <c r="AG147" s="37">
        <f t="shared" si="147"/>
        <v>15.367661608936078</v>
      </c>
      <c r="AH147" s="37">
        <f t="shared" si="147"/>
        <v>44.418026031993875</v>
      </c>
      <c r="AI147" s="37">
        <f t="shared" si="147"/>
        <v>2.3603451100311368</v>
      </c>
      <c r="AJ147" s="37">
        <f t="shared" si="144"/>
        <v>27.48224216801589</v>
      </c>
      <c r="AK147" s="37">
        <f t="shared" si="144"/>
        <v>15.734741774705618</v>
      </c>
      <c r="AL147" s="37">
        <f t="shared" si="144"/>
        <v>8.8364689196848154</v>
      </c>
      <c r="AN147" s="37">
        <f t="shared" ref="AN147:AZ150" si="150">+(C147/C$150)*100</f>
        <v>8.5848667992773997</v>
      </c>
      <c r="AO147" s="37">
        <f t="shared" si="150"/>
        <v>9.419150308508943</v>
      </c>
      <c r="AP147" s="37">
        <f t="shared" si="150"/>
        <v>8.5859899244370119</v>
      </c>
      <c r="AQ147" s="37">
        <f t="shared" si="150"/>
        <v>7.607397229000842</v>
      </c>
      <c r="AR147" s="37">
        <f t="shared" si="150"/>
        <v>6.9490655799721743</v>
      </c>
      <c r="AS147" s="37">
        <f t="shared" si="150"/>
        <v>8.3688115743666813</v>
      </c>
      <c r="AT147" s="37">
        <f t="shared" si="150"/>
        <v>9.7656680422144522</v>
      </c>
      <c r="AU147" s="37">
        <f t="shared" si="150"/>
        <v>8.3568643356634364</v>
      </c>
      <c r="AV147" s="37">
        <f t="shared" si="150"/>
        <v>7.1311799940213554</v>
      </c>
      <c r="AW147" s="37">
        <f t="shared" si="150"/>
        <v>7.8956917264616404</v>
      </c>
      <c r="AX147" s="37">
        <f t="shared" si="150"/>
        <v>9.7625089642707277</v>
      </c>
      <c r="AY147" s="37">
        <f t="shared" si="150"/>
        <v>7.9735669889796537</v>
      </c>
      <c r="AZ147" s="37">
        <f t="shared" si="150"/>
        <v>8.0876040328391667</v>
      </c>
      <c r="BA147" s="79"/>
      <c r="BB147" s="37">
        <f t="shared" si="127"/>
        <v>-6.5253917037295439</v>
      </c>
      <c r="BC147" s="73">
        <f t="shared" si="127"/>
        <v>28.173551325805192</v>
      </c>
      <c r="BD147" s="37">
        <f t="shared" si="127"/>
        <v>11.430859254357962</v>
      </c>
      <c r="BE147" s="37">
        <f t="shared" si="127"/>
        <v>21.643450763851014</v>
      </c>
      <c r="BF147" s="37" t="s">
        <v>9</v>
      </c>
    </row>
    <row r="148" spans="1:58" ht="11.7" customHeight="1">
      <c r="A148" s="84" t="s">
        <v>30</v>
      </c>
      <c r="B148" s="38">
        <f t="shared" ref="B148:S148" si="151">+B143+B145+B147</f>
        <v>10506.945768719725</v>
      </c>
      <c r="C148" s="38">
        <f t="shared" si="151"/>
        <v>12204.275544333414</v>
      </c>
      <c r="D148" s="38">
        <f t="shared" si="151"/>
        <v>14794.30956638572</v>
      </c>
      <c r="E148" s="38">
        <f t="shared" si="151"/>
        <v>18672.433077085094</v>
      </c>
      <c r="F148" s="38">
        <f t="shared" si="151"/>
        <v>17294.835659187247</v>
      </c>
      <c r="G148" s="38">
        <f t="shared" si="151"/>
        <v>13167.638403598179</v>
      </c>
      <c r="H148" s="38">
        <f t="shared" si="151"/>
        <v>10565.060000000001</v>
      </c>
      <c r="I148" s="38">
        <f t="shared" si="151"/>
        <v>14084.93</v>
      </c>
      <c r="J148" s="38">
        <f t="shared" si="151"/>
        <v>16892.919999999998</v>
      </c>
      <c r="K148" s="38">
        <f t="shared" si="151"/>
        <v>14528.26</v>
      </c>
      <c r="L148" s="38">
        <f t="shared" si="151"/>
        <v>16713.86</v>
      </c>
      <c r="M148" s="38">
        <f>+M143+M145+M147</f>
        <v>20906.54</v>
      </c>
      <c r="N148" s="38">
        <f>+N143+N145+N147</f>
        <v>24241.78</v>
      </c>
      <c r="O148" s="38">
        <f t="shared" si="151"/>
        <v>29104.885999999999</v>
      </c>
      <c r="P148" s="38">
        <f t="shared" si="151"/>
        <v>32804.04</v>
      </c>
      <c r="Q148" s="38">
        <f t="shared" si="151"/>
        <v>37860.090000000004</v>
      </c>
      <c r="R148" s="38">
        <f t="shared" si="151"/>
        <v>40152.69</v>
      </c>
      <c r="S148" s="38">
        <f t="shared" si="151"/>
        <v>40256.154444</v>
      </c>
      <c r="T148" s="38">
        <f>+T143+T145+T147</f>
        <v>48345.32</v>
      </c>
      <c r="U148" s="38">
        <f>+U143+U145+U147</f>
        <v>54510.36</v>
      </c>
      <c r="V148" s="38" t="s">
        <v>9</v>
      </c>
      <c r="W148" s="39"/>
      <c r="X148" s="40">
        <f t="shared" si="147"/>
        <v>16.154359344528245</v>
      </c>
      <c r="Y148" s="40">
        <f t="shared" si="147"/>
        <v>21.222349599070544</v>
      </c>
      <c r="Z148" s="40">
        <f t="shared" si="147"/>
        <v>26.213616075135349</v>
      </c>
      <c r="AA148" s="40">
        <f t="shared" si="147"/>
        <v>-7.3777070840780894</v>
      </c>
      <c r="AB148" s="40">
        <f t="shared" si="147"/>
        <v>-23.863755267293595</v>
      </c>
      <c r="AC148" s="40">
        <f t="shared" si="147"/>
        <v>-19.764959545722327</v>
      </c>
      <c r="AD148" s="253">
        <f t="shared" si="147"/>
        <v>33.31613828979674</v>
      </c>
      <c r="AE148" s="253">
        <f t="shared" si="147"/>
        <v>19.936130318006541</v>
      </c>
      <c r="AF148" s="253">
        <f>((K148/J148)-1)*100</f>
        <v>-13.997935229670166</v>
      </c>
      <c r="AG148" s="253">
        <f t="shared" si="147"/>
        <v>15.043783632726848</v>
      </c>
      <c r="AH148" s="253">
        <f t="shared" si="147"/>
        <v>25.085049174756758</v>
      </c>
      <c r="AI148" s="253">
        <f t="shared" si="147"/>
        <v>15.953094103567578</v>
      </c>
      <c r="AJ148" s="253">
        <f t="shared" si="144"/>
        <v>20.060845366965619</v>
      </c>
      <c r="AK148" s="253">
        <f t="shared" si="144"/>
        <v>12.709735403189693</v>
      </c>
      <c r="AL148" s="253">
        <f t="shared" si="144"/>
        <v>15.412888168652405</v>
      </c>
      <c r="AN148" s="37">
        <f t="shared" si="150"/>
        <v>26.441349361223971</v>
      </c>
      <c r="AO148" s="37">
        <f t="shared" si="150"/>
        <v>27.222208899330845</v>
      </c>
      <c r="AP148" s="37">
        <f t="shared" si="150"/>
        <v>26.40409364953587</v>
      </c>
      <c r="AQ148" s="37">
        <f t="shared" si="150"/>
        <v>23.938252222279989</v>
      </c>
      <c r="AR148" s="37">
        <f t="shared" si="150"/>
        <v>20.841250107907346</v>
      </c>
      <c r="AS148" s="37">
        <f t="shared" si="150"/>
        <v>24.897359363121389</v>
      </c>
      <c r="AT148" s="37">
        <f t="shared" si="150"/>
        <v>28.21802252083857</v>
      </c>
      <c r="AU148" s="37">
        <f t="shared" si="150"/>
        <v>27.167604958348594</v>
      </c>
      <c r="AV148" s="37">
        <f t="shared" si="150"/>
        <v>23.56465086645742</v>
      </c>
      <c r="AW148" s="37">
        <f t="shared" si="150"/>
        <v>26.017697599717316</v>
      </c>
      <c r="AX148" s="37">
        <f t="shared" si="150"/>
        <v>27.862759264168151</v>
      </c>
      <c r="AY148" s="37">
        <f t="shared" si="150"/>
        <v>25.778991579481094</v>
      </c>
      <c r="AZ148" s="37">
        <f t="shared" si="150"/>
        <v>24.62548888619116</v>
      </c>
      <c r="BA148" s="79"/>
      <c r="BB148" s="253">
        <f t="shared" si="127"/>
        <v>6.0554531169894066</v>
      </c>
      <c r="BC148" s="306">
        <f t="shared" si="127"/>
        <v>0.25767749059899536</v>
      </c>
      <c r="BD148" s="253">
        <f t="shared" si="127"/>
        <v>20.094233211601885</v>
      </c>
      <c r="BE148" s="253">
        <f t="shared" si="127"/>
        <v>12.752092653435753</v>
      </c>
      <c r="BF148" s="253" t="s">
        <v>9</v>
      </c>
    </row>
    <row r="149" spans="1:58" ht="11.7" customHeight="1">
      <c r="A149" s="84" t="s">
        <v>31</v>
      </c>
      <c r="B149" s="38">
        <f t="shared" ref="B149:S149" si="152">+B148+B141</f>
        <v>21184.978339475507</v>
      </c>
      <c r="C149" s="38">
        <f t="shared" si="152"/>
        <v>23830.446841304154</v>
      </c>
      <c r="D149" s="38">
        <f t="shared" si="152"/>
        <v>28702.371973181675</v>
      </c>
      <c r="E149" s="38">
        <f t="shared" si="152"/>
        <v>36705.039096224151</v>
      </c>
      <c r="F149" s="38">
        <f t="shared" si="152"/>
        <v>35182.594943893302</v>
      </c>
      <c r="G149" s="38">
        <f t="shared" si="152"/>
        <v>28543.380965109551</v>
      </c>
      <c r="H149" s="38">
        <f t="shared" si="152"/>
        <v>20997.170000000002</v>
      </c>
      <c r="I149" s="38">
        <f t="shared" si="152"/>
        <v>26647.41</v>
      </c>
      <c r="J149" s="38">
        <f t="shared" si="152"/>
        <v>33370.14</v>
      </c>
      <c r="K149" s="38">
        <f t="shared" si="152"/>
        <v>30114.58</v>
      </c>
      <c r="L149" s="38">
        <f t="shared" si="152"/>
        <v>33855.81</v>
      </c>
      <c r="M149" s="38">
        <f>+M148+M141</f>
        <v>40011.1</v>
      </c>
      <c r="N149" s="38">
        <f>+N148+N141</f>
        <v>48599.77</v>
      </c>
      <c r="O149" s="68">
        <f t="shared" si="152"/>
        <v>58548.347999999998</v>
      </c>
      <c r="P149" s="68">
        <f t="shared" si="152"/>
        <v>66188.649999999994</v>
      </c>
      <c r="Q149" s="68">
        <f t="shared" si="152"/>
        <v>73888.200000000012</v>
      </c>
      <c r="R149" s="68">
        <f t="shared" si="152"/>
        <v>90635.46</v>
      </c>
      <c r="S149" s="68">
        <f t="shared" si="152"/>
        <v>76512.149248000002</v>
      </c>
      <c r="T149" s="68">
        <f>+T148+T141</f>
        <v>95651.78</v>
      </c>
      <c r="U149" s="68">
        <f>+U148+U141</f>
        <v>117273.826785</v>
      </c>
      <c r="V149" s="68" t="s">
        <v>9</v>
      </c>
      <c r="W149" s="39"/>
      <c r="X149" s="40">
        <f t="shared" si="147"/>
        <v>12.487473243714176</v>
      </c>
      <c r="Y149" s="40">
        <f t="shared" si="147"/>
        <v>20.444119929103689</v>
      </c>
      <c r="Z149" s="40">
        <f t="shared" si="147"/>
        <v>27.881553240686308</v>
      </c>
      <c r="AA149" s="40">
        <f t="shared" si="147"/>
        <v>-4.1477796777158682</v>
      </c>
      <c r="AB149" s="40">
        <f t="shared" si="147"/>
        <v>-18.870734206420813</v>
      </c>
      <c r="AC149" s="40">
        <f>((H149/G149)-1)*100</f>
        <v>-26.437691366463479</v>
      </c>
      <c r="AD149" s="253">
        <f t="shared" si="147"/>
        <v>26.909531141577638</v>
      </c>
      <c r="AE149" s="253">
        <f t="shared" si="147"/>
        <v>25.228455598499067</v>
      </c>
      <c r="AF149" s="253">
        <f>((K149/J149)-1)*100</f>
        <v>-9.7559075269087803</v>
      </c>
      <c r="AG149" s="253">
        <f t="shared" si="147"/>
        <v>12.423317874597606</v>
      </c>
      <c r="AH149" s="253">
        <f t="shared" si="147"/>
        <v>18.180897163588771</v>
      </c>
      <c r="AI149" s="253">
        <f t="shared" si="147"/>
        <v>21.465718263181955</v>
      </c>
      <c r="AJ149" s="253">
        <f t="shared" si="144"/>
        <v>20.470421979363284</v>
      </c>
      <c r="AK149" s="253">
        <f t="shared" si="144"/>
        <v>13.049560339430922</v>
      </c>
      <c r="AL149" s="253">
        <f t="shared" si="144"/>
        <v>11.632734615375927</v>
      </c>
      <c r="AN149" s="37">
        <f t="shared" si="150"/>
        <v>51.630198619824377</v>
      </c>
      <c r="AO149" s="37">
        <f t="shared" si="150"/>
        <v>52.813682331992318</v>
      </c>
      <c r="AP149" s="37">
        <f t="shared" si="150"/>
        <v>51.903428209146462</v>
      </c>
      <c r="AQ149" s="37">
        <f t="shared" si="150"/>
        <v>48.697186154170673</v>
      </c>
      <c r="AR149" s="37">
        <f t="shared" si="150"/>
        <v>45.17740565055108</v>
      </c>
      <c r="AS149" s="37">
        <f t="shared" si="150"/>
        <v>49.481412041062853</v>
      </c>
      <c r="AT149" s="37">
        <f t="shared" si="150"/>
        <v>53.385939120891543</v>
      </c>
      <c r="AU149" s="37">
        <f t="shared" si="150"/>
        <v>53.666671062479828</v>
      </c>
      <c r="AV149" s="37">
        <f t="shared" si="150"/>
        <v>48.845461444798026</v>
      </c>
      <c r="AW149" s="37">
        <f t="shared" si="150"/>
        <v>52.701783225029132</v>
      </c>
      <c r="AX149" s="37">
        <f t="shared" si="150"/>
        <v>53.323966911529027</v>
      </c>
      <c r="AY149" s="37">
        <f t="shared" si="150"/>
        <v>51.681562228298318</v>
      </c>
      <c r="AZ149" s="37">
        <f t="shared" si="150"/>
        <v>49.537445121030629</v>
      </c>
      <c r="BA149" s="79"/>
      <c r="BB149" s="253">
        <f t="shared" si="127"/>
        <v>22.665675980738452</v>
      </c>
      <c r="BC149" s="306">
        <f t="shared" si="127"/>
        <v>-15.582544350743078</v>
      </c>
      <c r="BD149" s="253">
        <f t="shared" si="127"/>
        <v>25.015152417117982</v>
      </c>
      <c r="BE149" s="253">
        <f t="shared" si="127"/>
        <v>22.604960184745117</v>
      </c>
      <c r="BF149" s="253" t="s">
        <v>9</v>
      </c>
    </row>
    <row r="150" spans="1:58" ht="11.7" customHeight="1">
      <c r="A150" s="85" t="s">
        <v>32</v>
      </c>
      <c r="B150" s="64">
        <f t="shared" ref="B150:N150" si="153">+B135+B141+B148</f>
        <v>40615.7629321032</v>
      </c>
      <c r="C150" s="64">
        <f t="shared" si="153"/>
        <v>46156.023951753712</v>
      </c>
      <c r="D150" s="64">
        <f t="shared" si="153"/>
        <v>54346.4699029232</v>
      </c>
      <c r="E150" s="64">
        <f t="shared" si="153"/>
        <v>70717.947470290528</v>
      </c>
      <c r="F150" s="64">
        <f t="shared" si="153"/>
        <v>72247.695857638551</v>
      </c>
      <c r="G150" s="64">
        <f t="shared" si="153"/>
        <v>63180.655360986566</v>
      </c>
      <c r="H150" s="64">
        <f t="shared" si="153"/>
        <v>42434.460000000006</v>
      </c>
      <c r="I150" s="64">
        <f t="shared" si="153"/>
        <v>49914.659999999996</v>
      </c>
      <c r="J150" s="64">
        <f t="shared" si="153"/>
        <v>62180.380000000005</v>
      </c>
      <c r="K150" s="64">
        <f t="shared" si="153"/>
        <v>61652.77</v>
      </c>
      <c r="L150" s="64">
        <f t="shared" si="153"/>
        <v>64240.35</v>
      </c>
      <c r="M150" s="64">
        <f t="shared" si="153"/>
        <v>75033.989999999991</v>
      </c>
      <c r="N150" s="64">
        <f t="shared" si="153"/>
        <v>94036.959999999992</v>
      </c>
      <c r="O150" s="64">
        <f>+O135+O149</f>
        <v>118190.084</v>
      </c>
      <c r="P150" s="64">
        <f>+P135+P149</f>
        <v>128772.32999999999</v>
      </c>
      <c r="Q150" s="64">
        <f>+Q135+Q149</f>
        <v>139958.90000000002</v>
      </c>
      <c r="R150" s="64">
        <f>+R135+R149</f>
        <v>179223.27000000002</v>
      </c>
      <c r="S150" s="64">
        <f>+S135+S141+S148</f>
        <v>133703.740556</v>
      </c>
      <c r="T150" s="64">
        <f>+T135+T141+T148</f>
        <v>182927.118193</v>
      </c>
      <c r="U150" s="64">
        <f>+U135+U141+U148</f>
        <v>228779.72816499998</v>
      </c>
      <c r="V150" s="64" t="s">
        <v>9</v>
      </c>
      <c r="W150" s="39"/>
      <c r="X150" s="65">
        <f t="shared" si="147"/>
        <v>13.6406671195912</v>
      </c>
      <c r="Y150" s="65">
        <f t="shared" si="147"/>
        <v>17.74512891260056</v>
      </c>
      <c r="Z150" s="65">
        <f t="shared" si="147"/>
        <v>30.124270438560231</v>
      </c>
      <c r="AA150" s="65">
        <f t="shared" si="147"/>
        <v>2.1631685336889861</v>
      </c>
      <c r="AB150" s="65">
        <f t="shared" si="147"/>
        <v>-12.549937252695587</v>
      </c>
      <c r="AC150" s="65">
        <f>((H150/G150)-1)*100</f>
        <v>-32.836309219098624</v>
      </c>
      <c r="AD150" s="254">
        <f t="shared" si="147"/>
        <v>17.627654505324173</v>
      </c>
      <c r="AE150" s="254">
        <f t="shared" si="147"/>
        <v>24.573381848138421</v>
      </c>
      <c r="AF150" s="254">
        <f>((K150/J150)-1)*100</f>
        <v>-0.84851523905130621</v>
      </c>
      <c r="AG150" s="254">
        <f t="shared" si="147"/>
        <v>4.1970214801378747</v>
      </c>
      <c r="AH150" s="254">
        <f t="shared" si="147"/>
        <v>16.801963252068198</v>
      </c>
      <c r="AI150" s="254">
        <f t="shared" si="147"/>
        <v>25.325815673670029</v>
      </c>
      <c r="AJ150" s="254">
        <f t="shared" si="144"/>
        <v>25.684713755102262</v>
      </c>
      <c r="AK150" s="254">
        <f t="shared" si="144"/>
        <v>8.9535819265514469</v>
      </c>
      <c r="AL150" s="254">
        <f t="shared" si="144"/>
        <v>8.6870913961097465</v>
      </c>
      <c r="AN150" s="69">
        <f t="shared" si="150"/>
        <v>100</v>
      </c>
      <c r="AO150" s="69">
        <f t="shared" si="150"/>
        <v>100</v>
      </c>
      <c r="AP150" s="69">
        <f t="shared" si="150"/>
        <v>100</v>
      </c>
      <c r="AQ150" s="69">
        <f t="shared" si="150"/>
        <v>100</v>
      </c>
      <c r="AR150" s="69">
        <f t="shared" si="150"/>
        <v>100</v>
      </c>
      <c r="AS150" s="69">
        <f t="shared" si="150"/>
        <v>100</v>
      </c>
      <c r="AT150" s="69">
        <f t="shared" si="150"/>
        <v>100</v>
      </c>
      <c r="AU150" s="69">
        <f t="shared" si="150"/>
        <v>100</v>
      </c>
      <c r="AV150" s="69">
        <f t="shared" si="150"/>
        <v>100</v>
      </c>
      <c r="AW150" s="69">
        <f t="shared" si="150"/>
        <v>100</v>
      </c>
      <c r="AX150" s="69">
        <f t="shared" si="150"/>
        <v>100</v>
      </c>
      <c r="AY150" s="69">
        <f t="shared" si="150"/>
        <v>100</v>
      </c>
      <c r="AZ150" s="69">
        <f t="shared" si="150"/>
        <v>100</v>
      </c>
      <c r="BA150" s="80"/>
      <c r="BB150" s="254">
        <f t="shared" si="127"/>
        <v>28.054214487253027</v>
      </c>
      <c r="BC150" s="308">
        <f t="shared" si="127"/>
        <v>-25.398225042986887</v>
      </c>
      <c r="BD150" s="254">
        <f t="shared" si="127"/>
        <v>36.81525844550584</v>
      </c>
      <c r="BE150" s="254">
        <f t="shared" si="127"/>
        <v>25.066053860654215</v>
      </c>
      <c r="BF150" s="254" t="s">
        <v>9</v>
      </c>
    </row>
    <row r="151" spans="1:58" ht="12.45" customHeight="1">
      <c r="A151" s="384" t="s">
        <v>36</v>
      </c>
      <c r="B151" s="384"/>
      <c r="C151" s="384"/>
      <c r="D151" s="384"/>
      <c r="E151" s="384"/>
      <c r="F151" s="384"/>
      <c r="G151" s="384"/>
      <c r="H151" s="384"/>
      <c r="I151" s="384"/>
      <c r="J151" s="384"/>
      <c r="K151" s="384"/>
      <c r="L151" s="384"/>
      <c r="M151" s="384"/>
      <c r="N151" s="384"/>
      <c r="O151" s="384"/>
      <c r="P151" s="384"/>
      <c r="Q151" s="384"/>
      <c r="R151" s="384"/>
      <c r="S151" s="384"/>
      <c r="T151" s="384"/>
      <c r="U151" s="384"/>
      <c r="V151" s="384"/>
      <c r="W151" s="14"/>
      <c r="X151" s="15"/>
      <c r="Y151" s="15"/>
      <c r="Z151" s="14"/>
      <c r="AA151" s="22" t="s">
        <v>1</v>
      </c>
      <c r="AB151" s="22" t="s">
        <v>1</v>
      </c>
      <c r="AC151" s="13"/>
      <c r="AD151" s="22" t="s">
        <v>1</v>
      </c>
      <c r="AE151" s="2"/>
      <c r="AF151" s="384"/>
      <c r="AG151" s="384"/>
      <c r="AH151" s="384"/>
      <c r="AI151" s="384"/>
      <c r="AJ151" s="384"/>
      <c r="AK151" s="384"/>
      <c r="AL151" s="384"/>
      <c r="AM151" s="384"/>
      <c r="AN151" s="384"/>
      <c r="AO151" s="384"/>
      <c r="AP151" s="384"/>
      <c r="AQ151" s="384"/>
      <c r="AR151" s="384"/>
      <c r="AS151" s="384"/>
      <c r="AT151" s="384"/>
      <c r="AU151" s="384"/>
      <c r="AV151" s="384"/>
      <c r="AW151" s="384"/>
      <c r="AX151" s="384"/>
      <c r="AY151" s="384"/>
      <c r="AZ151" s="384"/>
      <c r="BA151" s="384"/>
      <c r="BB151" s="384"/>
      <c r="BC151" s="384"/>
      <c r="BD151" s="384"/>
      <c r="BE151" s="384"/>
      <c r="BF151" s="384"/>
    </row>
    <row r="152" spans="1:58" ht="11.7" customHeight="1">
      <c r="B152" s="1"/>
      <c r="E152" s="3"/>
      <c r="G152" s="4"/>
      <c r="H152" s="4"/>
      <c r="I152" s="4"/>
      <c r="J152" s="4"/>
      <c r="K152" s="17"/>
      <c r="L152" s="17"/>
      <c r="M152" s="17"/>
      <c r="O152" s="17"/>
      <c r="P152" s="17"/>
      <c r="S152" s="17"/>
      <c r="U152" s="17"/>
      <c r="V152" s="17" t="s">
        <v>37</v>
      </c>
      <c r="W152" s="17"/>
      <c r="X152" s="10"/>
      <c r="Y152" s="10"/>
      <c r="Z152" s="10"/>
      <c r="AA152" s="11"/>
      <c r="AB152" s="10"/>
      <c r="AC152" s="12"/>
      <c r="AD152" s="12"/>
      <c r="AE152" s="12"/>
      <c r="AF152" s="12"/>
      <c r="AG152" s="17"/>
      <c r="AH152" s="17"/>
      <c r="AI152" s="17"/>
      <c r="AK152" s="17"/>
      <c r="AL152" s="17"/>
      <c r="AM152" s="17"/>
      <c r="AS152" s="4"/>
      <c r="AT152" s="4"/>
      <c r="AU152" s="4"/>
      <c r="AV152" s="4"/>
      <c r="AW152" s="17"/>
      <c r="AX152" s="17"/>
      <c r="AY152" s="17"/>
      <c r="AZ152" s="17"/>
      <c r="BA152" s="17"/>
      <c r="BB152" s="17"/>
      <c r="BC152" s="17"/>
      <c r="BE152" s="17"/>
      <c r="BF152" s="17"/>
    </row>
    <row r="153" spans="1:58" ht="11.7" customHeight="1">
      <c r="A153" s="81"/>
      <c r="B153" s="75">
        <v>2535</v>
      </c>
      <c r="C153" s="25">
        <v>2536</v>
      </c>
      <c r="D153" s="25">
        <v>2537</v>
      </c>
      <c r="E153" s="25">
        <v>2538</v>
      </c>
      <c r="F153" s="25">
        <v>2539</v>
      </c>
      <c r="G153" s="25">
        <v>2540</v>
      </c>
      <c r="H153" s="25">
        <v>2541</v>
      </c>
      <c r="I153" s="25">
        <v>2542</v>
      </c>
      <c r="J153" s="25">
        <v>2543</v>
      </c>
      <c r="K153" s="25">
        <v>2544</v>
      </c>
      <c r="L153" s="25">
        <v>2545</v>
      </c>
      <c r="M153" s="75">
        <v>2546</v>
      </c>
      <c r="N153" s="75">
        <v>2547</v>
      </c>
      <c r="O153" s="75">
        <v>2548</v>
      </c>
      <c r="P153" s="75">
        <v>2549</v>
      </c>
      <c r="Q153" s="75">
        <v>2550</v>
      </c>
      <c r="R153" s="107">
        <v>2551</v>
      </c>
      <c r="S153" s="107">
        <v>2552</v>
      </c>
      <c r="T153" s="107">
        <v>2553</v>
      </c>
      <c r="U153" s="107">
        <v>2554</v>
      </c>
      <c r="V153" s="107">
        <v>2555</v>
      </c>
      <c r="W153" s="21"/>
      <c r="X153" s="20">
        <v>2536</v>
      </c>
      <c r="Y153" s="20">
        <v>2537</v>
      </c>
      <c r="Z153" s="20">
        <v>2538</v>
      </c>
      <c r="AA153" s="20">
        <v>2539</v>
      </c>
      <c r="AB153" s="20">
        <v>2540</v>
      </c>
      <c r="AC153" s="20">
        <v>2541</v>
      </c>
      <c r="AD153" s="25">
        <v>2542</v>
      </c>
      <c r="AE153" s="25">
        <v>2543</v>
      </c>
      <c r="AF153" s="25">
        <v>2544</v>
      </c>
      <c r="AG153" s="25">
        <v>2545</v>
      </c>
      <c r="AH153" s="75">
        <v>2546</v>
      </c>
      <c r="AI153" s="75">
        <v>2547</v>
      </c>
      <c r="AJ153" s="75">
        <v>2548</v>
      </c>
      <c r="AK153" s="287">
        <v>2549</v>
      </c>
      <c r="AL153" s="275"/>
      <c r="AM153" s="108"/>
      <c r="AN153" s="275"/>
      <c r="AO153" s="275"/>
      <c r="AP153" s="275"/>
      <c r="AQ153" s="275"/>
      <c r="AR153" s="275"/>
      <c r="AS153" s="275"/>
      <c r="AT153" s="275"/>
      <c r="AU153" s="275"/>
      <c r="AV153" s="275"/>
      <c r="AW153" s="275"/>
      <c r="AX153" s="275"/>
      <c r="AY153" s="275"/>
      <c r="AZ153" s="275"/>
      <c r="BA153" s="275"/>
      <c r="BB153" s="275"/>
      <c r="BC153" s="275"/>
      <c r="BD153" s="275"/>
      <c r="BE153" s="275"/>
      <c r="BF153" s="275"/>
    </row>
    <row r="154" spans="1:58" ht="11.7" customHeight="1">
      <c r="A154" s="82" t="s">
        <v>4</v>
      </c>
      <c r="B154" s="34">
        <f t="shared" ref="B154:U155" si="154">+B94-B124</f>
        <v>-486.09488181785673</v>
      </c>
      <c r="C154" s="34">
        <f t="shared" si="154"/>
        <v>-1010.9473396304911</v>
      </c>
      <c r="D154" s="34">
        <f t="shared" si="154"/>
        <v>-937.26807611750064</v>
      </c>
      <c r="E154" s="34">
        <f t="shared" si="154"/>
        <v>-1081.4014009293155</v>
      </c>
      <c r="F154" s="34">
        <f t="shared" si="154"/>
        <v>-1791.2870006804105</v>
      </c>
      <c r="G154" s="34">
        <f t="shared" si="154"/>
        <v>-1503.8623800234109</v>
      </c>
      <c r="H154" s="34">
        <f t="shared" si="154"/>
        <v>893.34999999999991</v>
      </c>
      <c r="I154" s="33">
        <f t="shared" si="154"/>
        <v>581.7800000000002</v>
      </c>
      <c r="J154" s="33">
        <f t="shared" si="154"/>
        <v>1182.6199999999999</v>
      </c>
      <c r="K154" s="33">
        <f t="shared" si="154"/>
        <v>-357.52999999999975</v>
      </c>
      <c r="L154" s="33">
        <f t="shared" si="154"/>
        <v>-143.57999999999993</v>
      </c>
      <c r="M154" s="34">
        <f t="shared" si="154"/>
        <v>197.27999999999975</v>
      </c>
      <c r="N154" s="34">
        <f t="shared" si="154"/>
        <v>171.05999999999949</v>
      </c>
      <c r="O154" s="34">
        <f t="shared" si="154"/>
        <v>-1350.3889999999992</v>
      </c>
      <c r="P154" s="34">
        <f t="shared" si="154"/>
        <v>-483.79000000000087</v>
      </c>
      <c r="Q154" s="34">
        <f t="shared" si="154"/>
        <v>680.15999999999985</v>
      </c>
      <c r="R154" s="34">
        <f t="shared" si="154"/>
        <v>-344.96000000000095</v>
      </c>
      <c r="S154" s="34">
        <f t="shared" si="154"/>
        <v>1370.3494970000011</v>
      </c>
      <c r="T154" s="33">
        <f t="shared" si="154"/>
        <v>491.07999999999993</v>
      </c>
      <c r="U154" s="33">
        <f t="shared" si="154"/>
        <v>-1444.2806740000015</v>
      </c>
      <c r="V154" s="33">
        <f>+V94-V124</f>
        <v>-1127.1599999999999</v>
      </c>
      <c r="W154" s="35"/>
      <c r="X154" s="36">
        <f t="shared" ref="X154:AK174" si="155">((C154/B154)-1)*100</f>
        <v>107.97325325661431</v>
      </c>
      <c r="Y154" s="36">
        <f t="shared" si="155"/>
        <v>-7.2881406008665888</v>
      </c>
      <c r="Z154" s="36">
        <f t="shared" si="155"/>
        <v>15.37802561342605</v>
      </c>
      <c r="AA154" s="36">
        <f t="shared" si="155"/>
        <v>65.644967644858426</v>
      </c>
      <c r="AB154" s="36">
        <f t="shared" si="155"/>
        <v>-16.045704599420585</v>
      </c>
      <c r="AC154" s="36">
        <f t="shared" si="155"/>
        <v>-159.40370687283854</v>
      </c>
      <c r="AD154" s="37">
        <f t="shared" si="155"/>
        <v>-34.87658812335588</v>
      </c>
      <c r="AE154" s="37">
        <f t="shared" si="155"/>
        <v>103.27615249750757</v>
      </c>
      <c r="AF154" s="42">
        <f t="shared" si="155"/>
        <v>-130.2320271938577</v>
      </c>
      <c r="AG154" s="37">
        <f>((L154/K154)-1)*100</f>
        <v>-59.841132212681444</v>
      </c>
      <c r="AH154" s="37">
        <f>((M154/L154)-1)*100</f>
        <v>-237.40075219389877</v>
      </c>
      <c r="AI154" s="37">
        <f>((N154/M154)-1)*100</f>
        <v>-13.29075425790769</v>
      </c>
      <c r="AJ154" s="37">
        <f>((O154/N154)-1)*100</f>
        <v>-889.42417865076777</v>
      </c>
      <c r="AK154" s="288">
        <f t="shared" ref="AK154:AK168" si="156">((P154/O154)-1)*100</f>
        <v>-64.174026891510437</v>
      </c>
      <c r="AL154" s="77"/>
      <c r="AY154" s="77"/>
      <c r="AZ154" s="77"/>
      <c r="BB154" s="77"/>
      <c r="BC154" s="77"/>
      <c r="BD154" s="77"/>
      <c r="BE154" s="77"/>
      <c r="BF154" s="279"/>
    </row>
    <row r="155" spans="1:58" ht="11.7" customHeight="1">
      <c r="A155" s="82" t="s">
        <v>5</v>
      </c>
      <c r="B155" s="34">
        <f t="shared" si="154"/>
        <v>-624.5356647031881</v>
      </c>
      <c r="C155" s="34">
        <f t="shared" si="154"/>
        <v>-688.25298299547239</v>
      </c>
      <c r="D155" s="34">
        <f t="shared" si="154"/>
        <v>-751.02042127608593</v>
      </c>
      <c r="E155" s="34">
        <f t="shared" si="154"/>
        <v>-1047.9941526514108</v>
      </c>
      <c r="F155" s="34">
        <f t="shared" si="154"/>
        <v>-1052.6241287908315</v>
      </c>
      <c r="G155" s="34">
        <f t="shared" si="154"/>
        <v>-1075.1979891933615</v>
      </c>
      <c r="H155" s="34">
        <f t="shared" si="154"/>
        <v>1101.5699999999997</v>
      </c>
      <c r="I155" s="34">
        <f t="shared" si="154"/>
        <v>587.5600000000004</v>
      </c>
      <c r="J155" s="34">
        <f t="shared" si="154"/>
        <v>413.59000000000015</v>
      </c>
      <c r="K155" s="34">
        <f t="shared" si="154"/>
        <v>61.390000000000327</v>
      </c>
      <c r="L155" s="34">
        <f t="shared" si="154"/>
        <v>504.44000000000051</v>
      </c>
      <c r="M155" s="34">
        <f t="shared" si="154"/>
        <v>662.73999999999978</v>
      </c>
      <c r="N155" s="34">
        <f t="shared" si="154"/>
        <v>599.21</v>
      </c>
      <c r="O155" s="34">
        <f t="shared" si="154"/>
        <v>-463.96000000000004</v>
      </c>
      <c r="P155" s="34">
        <f t="shared" si="154"/>
        <v>-317.32999999999993</v>
      </c>
      <c r="Q155" s="34">
        <f t="shared" si="154"/>
        <v>898.91000000000167</v>
      </c>
      <c r="R155" s="34">
        <f t="shared" si="154"/>
        <v>-440.54999999999927</v>
      </c>
      <c r="S155" s="34">
        <f t="shared" si="154"/>
        <v>3537.702287000001</v>
      </c>
      <c r="T155" s="34">
        <f t="shared" si="154"/>
        <v>410.26000000000022</v>
      </c>
      <c r="U155" s="34">
        <f t="shared" si="154"/>
        <v>1257.4961170000024</v>
      </c>
      <c r="V155" s="34">
        <f t="shared" ref="T155:V157" si="157">+V95-V125</f>
        <v>529.68999999999869</v>
      </c>
      <c r="W155" s="35"/>
      <c r="X155" s="36">
        <f t="shared" si="155"/>
        <v>10.202350625174628</v>
      </c>
      <c r="Y155" s="36">
        <f t="shared" si="155"/>
        <v>9.1198207390881016</v>
      </c>
      <c r="Z155" s="36">
        <f t="shared" si="155"/>
        <v>39.54269723727699</v>
      </c>
      <c r="AA155" s="36">
        <f t="shared" si="155"/>
        <v>0.44179408136075793</v>
      </c>
      <c r="AB155" s="36">
        <f t="shared" si="155"/>
        <v>2.1445319164839161</v>
      </c>
      <c r="AC155" s="36">
        <f t="shared" si="155"/>
        <v>-202.45275856834732</v>
      </c>
      <c r="AD155" s="37">
        <f t="shared" si="155"/>
        <v>-46.661583013335459</v>
      </c>
      <c r="AE155" s="37">
        <f t="shared" si="155"/>
        <v>-29.608891006875915</v>
      </c>
      <c r="AF155" s="37">
        <f t="shared" si="155"/>
        <v>-85.156797794917608</v>
      </c>
      <c r="AG155" s="37">
        <f t="shared" si="155"/>
        <v>721.6973448444337</v>
      </c>
      <c r="AH155" s="37">
        <f t="shared" si="155"/>
        <v>31.381333756244366</v>
      </c>
      <c r="AI155" s="37">
        <f t="shared" si="155"/>
        <v>-9.5859613121283989</v>
      </c>
      <c r="AJ155" s="37">
        <f t="shared" si="155"/>
        <v>-177.42861434221723</v>
      </c>
      <c r="AK155" s="288">
        <f t="shared" si="156"/>
        <v>-31.604017587723099</v>
      </c>
      <c r="AL155" s="77"/>
      <c r="AY155" s="77"/>
      <c r="AZ155" s="77"/>
      <c r="BB155" s="77"/>
      <c r="BC155" s="77"/>
      <c r="BD155" s="77"/>
      <c r="BE155" s="77"/>
      <c r="BF155" s="279"/>
    </row>
    <row r="156" spans="1:58" ht="11.7" hidden="1" customHeight="1">
      <c r="A156" s="83" t="s">
        <v>6</v>
      </c>
      <c r="B156" s="38">
        <f t="shared" ref="B156:R156" si="158">+B154+B155</f>
        <v>-1110.6305465210448</v>
      </c>
      <c r="C156" s="38">
        <f t="shared" si="158"/>
        <v>-1699.2003226259635</v>
      </c>
      <c r="D156" s="38">
        <f t="shared" si="158"/>
        <v>-1688.2884973935866</v>
      </c>
      <c r="E156" s="38">
        <f t="shared" si="158"/>
        <v>-2129.3955535807263</v>
      </c>
      <c r="F156" s="38">
        <f t="shared" si="158"/>
        <v>-2843.911129471242</v>
      </c>
      <c r="G156" s="38">
        <f t="shared" si="158"/>
        <v>-2579.0603692167724</v>
      </c>
      <c r="H156" s="38">
        <f t="shared" si="158"/>
        <v>1994.9199999999996</v>
      </c>
      <c r="I156" s="38">
        <f t="shared" si="158"/>
        <v>1169.3400000000006</v>
      </c>
      <c r="J156" s="38">
        <f t="shared" si="158"/>
        <v>1596.21</v>
      </c>
      <c r="K156" s="38">
        <f t="shared" si="158"/>
        <v>-296.13999999999942</v>
      </c>
      <c r="L156" s="38">
        <f t="shared" si="158"/>
        <v>360.86000000000058</v>
      </c>
      <c r="M156" s="38">
        <f t="shared" si="158"/>
        <v>860.01999999999953</v>
      </c>
      <c r="N156" s="38">
        <f t="shared" si="158"/>
        <v>770.26999999999953</v>
      </c>
      <c r="O156" s="38">
        <f t="shared" si="158"/>
        <v>-1814.3489999999993</v>
      </c>
      <c r="P156" s="38">
        <f t="shared" si="158"/>
        <v>-801.1200000000008</v>
      </c>
      <c r="Q156" s="38">
        <f t="shared" si="158"/>
        <v>1579.0700000000015</v>
      </c>
      <c r="R156" s="38">
        <f t="shared" si="158"/>
        <v>-785.51000000000022</v>
      </c>
      <c r="S156" s="34">
        <f>+S96-S126</f>
        <v>4908.0517839999993</v>
      </c>
      <c r="T156" s="34">
        <f t="shared" si="157"/>
        <v>901.33999999999651</v>
      </c>
      <c r="U156" s="34">
        <f t="shared" si="157"/>
        <v>-186.78455699999904</v>
      </c>
      <c r="V156" s="34">
        <f t="shared" si="157"/>
        <v>-597.47000000000116</v>
      </c>
      <c r="W156" s="39"/>
      <c r="X156" s="40">
        <f t="shared" si="155"/>
        <v>52.994200271959315</v>
      </c>
      <c r="Y156" s="40">
        <f t="shared" si="155"/>
        <v>-0.64217415022106428</v>
      </c>
      <c r="Z156" s="40">
        <f t="shared" si="155"/>
        <v>26.127469142159619</v>
      </c>
      <c r="AA156" s="40">
        <f t="shared" si="155"/>
        <v>33.554854319527827</v>
      </c>
      <c r="AB156" s="40">
        <f t="shared" si="155"/>
        <v>-9.3129056498932332</v>
      </c>
      <c r="AC156" s="40">
        <f t="shared" si="155"/>
        <v>-177.35065157105382</v>
      </c>
      <c r="AD156" s="253">
        <f t="shared" si="155"/>
        <v>-41.38411565376051</v>
      </c>
      <c r="AE156" s="253">
        <f t="shared" si="155"/>
        <v>36.5052080660885</v>
      </c>
      <c r="AF156" s="320">
        <f t="shared" si="155"/>
        <v>-118.55269670030881</v>
      </c>
      <c r="AG156" s="320">
        <f t="shared" si="155"/>
        <v>-221.85452826365952</v>
      </c>
      <c r="AH156" s="253">
        <f t="shared" si="155"/>
        <v>138.32511223188993</v>
      </c>
      <c r="AI156" s="253">
        <f t="shared" si="155"/>
        <v>-10.435803818515854</v>
      </c>
      <c r="AJ156" s="253">
        <f t="shared" si="155"/>
        <v>-335.54714580601609</v>
      </c>
      <c r="AK156" s="317">
        <f t="shared" si="156"/>
        <v>-55.845319726248853</v>
      </c>
      <c r="AL156" s="265"/>
      <c r="AY156" s="77"/>
      <c r="AZ156" s="77"/>
      <c r="BB156" s="265"/>
      <c r="BC156" s="77"/>
      <c r="BD156" s="265"/>
      <c r="BE156" s="265"/>
      <c r="BF156" s="279"/>
    </row>
    <row r="157" spans="1:58" ht="11.7" customHeight="1">
      <c r="A157" s="82" t="s">
        <v>7</v>
      </c>
      <c r="B157" s="34">
        <f t="shared" ref="B157:P157" si="159">+B97-B127</f>
        <v>-628.95943009135408</v>
      </c>
      <c r="C157" s="34">
        <f t="shared" si="159"/>
        <v>-1051.1229735073143</v>
      </c>
      <c r="D157" s="34">
        <f t="shared" si="159"/>
        <v>-575.23121710195755</v>
      </c>
      <c r="E157" s="34">
        <f t="shared" si="159"/>
        <v>-1106.785235833464</v>
      </c>
      <c r="F157" s="34">
        <f t="shared" si="159"/>
        <v>-1547.3391795873995</v>
      </c>
      <c r="G157" s="34">
        <f t="shared" si="159"/>
        <v>-880.80809560524267</v>
      </c>
      <c r="H157" s="34">
        <f t="shared" si="159"/>
        <v>875.46000000000049</v>
      </c>
      <c r="I157" s="34">
        <f t="shared" si="159"/>
        <v>514.4399999999996</v>
      </c>
      <c r="J157" s="34">
        <f t="shared" si="159"/>
        <v>1071.3900000000003</v>
      </c>
      <c r="K157" s="34">
        <f t="shared" si="159"/>
        <v>321.61999999999989</v>
      </c>
      <c r="L157" s="34">
        <f t="shared" si="159"/>
        <v>418.78999999999996</v>
      </c>
      <c r="M157" s="34">
        <f t="shared" si="159"/>
        <v>503.18000000000029</v>
      </c>
      <c r="N157" s="34">
        <f t="shared" si="159"/>
        <v>-291.90999999999985</v>
      </c>
      <c r="O157" s="34">
        <f t="shared" si="159"/>
        <v>-1027.3470000000016</v>
      </c>
      <c r="P157" s="34">
        <f t="shared" si="159"/>
        <v>291.38999999999942</v>
      </c>
      <c r="Q157" s="34">
        <f>+Q97-Q127</f>
        <v>1902.4499999999989</v>
      </c>
      <c r="R157" s="34">
        <f>+R97-R127</f>
        <v>444.52000000000044</v>
      </c>
      <c r="S157" s="34">
        <f>+S97-S127</f>
        <v>2079.2939970000007</v>
      </c>
      <c r="T157" s="34">
        <f t="shared" si="157"/>
        <v>796.19452700000147</v>
      </c>
      <c r="U157" s="34">
        <f t="shared" si="157"/>
        <v>1410.4696829999993</v>
      </c>
      <c r="V157" s="34">
        <f t="shared" si="157"/>
        <v>-4589.1399999999994</v>
      </c>
      <c r="W157" s="35"/>
      <c r="X157" s="36">
        <f t="shared" si="155"/>
        <v>67.120949813033647</v>
      </c>
      <c r="Y157" s="36">
        <f t="shared" si="155"/>
        <v>-45.274603295695655</v>
      </c>
      <c r="Z157" s="36">
        <f t="shared" si="155"/>
        <v>92.407018765341192</v>
      </c>
      <c r="AA157" s="36">
        <f t="shared" si="155"/>
        <v>39.804826581570431</v>
      </c>
      <c r="AB157" s="36">
        <f t="shared" si="155"/>
        <v>-43.075952110246988</v>
      </c>
      <c r="AC157" s="36">
        <f t="shared" si="155"/>
        <v>-199.39281943116484</v>
      </c>
      <c r="AD157" s="37">
        <f t="shared" si="155"/>
        <v>-41.237749297512238</v>
      </c>
      <c r="AE157" s="37">
        <f t="shared" si="155"/>
        <v>108.26335432703544</v>
      </c>
      <c r="AF157" s="37">
        <f t="shared" si="155"/>
        <v>-69.981052651228808</v>
      </c>
      <c r="AG157" s="37">
        <f t="shared" si="155"/>
        <v>30.212673341210163</v>
      </c>
      <c r="AH157" s="37">
        <f t="shared" si="155"/>
        <v>20.150910957759336</v>
      </c>
      <c r="AI157" s="37">
        <f t="shared" si="155"/>
        <v>-158.01303708414477</v>
      </c>
      <c r="AJ157" s="37">
        <f t="shared" si="155"/>
        <v>251.93963892980787</v>
      </c>
      <c r="AK157" s="288">
        <f t="shared" si="156"/>
        <v>-128.36334753496129</v>
      </c>
      <c r="AL157" s="77"/>
      <c r="BB157" s="77"/>
      <c r="BC157" s="77"/>
      <c r="BD157" s="77"/>
      <c r="BE157" s="77"/>
      <c r="BF157" s="279"/>
    </row>
    <row r="158" spans="1:58" ht="11.7" customHeight="1">
      <c r="A158" s="84" t="s">
        <v>8</v>
      </c>
      <c r="B158" s="38">
        <f t="shared" ref="B158:V158" si="160">+B154+B155+B157</f>
        <v>-1739.5899766123989</v>
      </c>
      <c r="C158" s="38">
        <f t="shared" si="160"/>
        <v>-2750.3232961332778</v>
      </c>
      <c r="D158" s="38">
        <f t="shared" si="160"/>
        <v>-2263.5197144955441</v>
      </c>
      <c r="E158" s="38">
        <f t="shared" si="160"/>
        <v>-3236.1807894141903</v>
      </c>
      <c r="F158" s="38">
        <f t="shared" si="160"/>
        <v>-4391.2503090586415</v>
      </c>
      <c r="G158" s="38">
        <f t="shared" si="160"/>
        <v>-3459.8684648220151</v>
      </c>
      <c r="H158" s="38">
        <f t="shared" si="160"/>
        <v>2870.38</v>
      </c>
      <c r="I158" s="38">
        <f t="shared" si="160"/>
        <v>1683.7800000000002</v>
      </c>
      <c r="J158" s="38">
        <f t="shared" si="160"/>
        <v>2667.6000000000004</v>
      </c>
      <c r="K158" s="38">
        <f t="shared" si="160"/>
        <v>25.480000000000473</v>
      </c>
      <c r="L158" s="38">
        <f t="shared" si="160"/>
        <v>779.65000000000055</v>
      </c>
      <c r="M158" s="38">
        <f t="shared" si="160"/>
        <v>1363.1999999999998</v>
      </c>
      <c r="N158" s="38">
        <f t="shared" si="160"/>
        <v>478.35999999999967</v>
      </c>
      <c r="O158" s="38">
        <f t="shared" si="160"/>
        <v>-2841.6960000000008</v>
      </c>
      <c r="P158" s="38">
        <f t="shared" si="160"/>
        <v>-509.73000000000138</v>
      </c>
      <c r="Q158" s="38">
        <f t="shared" si="160"/>
        <v>3481.5200000000004</v>
      </c>
      <c r="R158" s="38">
        <f t="shared" si="160"/>
        <v>-340.98999999999978</v>
      </c>
      <c r="S158" s="38">
        <f t="shared" si="160"/>
        <v>6987.3457810000027</v>
      </c>
      <c r="T158" s="38">
        <f t="shared" si="160"/>
        <v>1697.5345270000016</v>
      </c>
      <c r="U158" s="38">
        <f t="shared" si="160"/>
        <v>1223.6851260000003</v>
      </c>
      <c r="V158" s="38">
        <f t="shared" si="160"/>
        <v>-5186.6100000000006</v>
      </c>
      <c r="W158" s="39"/>
      <c r="X158" s="40">
        <f t="shared" si="155"/>
        <v>58.101813249644984</v>
      </c>
      <c r="Y158" s="40">
        <f t="shared" si="155"/>
        <v>-17.699867587281048</v>
      </c>
      <c r="Z158" s="40">
        <f t="shared" si="155"/>
        <v>42.971177528949276</v>
      </c>
      <c r="AA158" s="40">
        <f t="shared" si="155"/>
        <v>35.692366861047354</v>
      </c>
      <c r="AB158" s="40">
        <f t="shared" si="155"/>
        <v>-21.209946568413407</v>
      </c>
      <c r="AC158" s="40">
        <f t="shared" si="155"/>
        <v>-182.96211342091181</v>
      </c>
      <c r="AD158" s="253">
        <f t="shared" si="155"/>
        <v>-41.339474215957459</v>
      </c>
      <c r="AE158" s="253">
        <f t="shared" si="155"/>
        <v>58.429248476641838</v>
      </c>
      <c r="AF158" s="320">
        <f t="shared" si="155"/>
        <v>-99.044834307992176</v>
      </c>
      <c r="AG158" s="321">
        <f t="shared" si="155"/>
        <v>2959.8508634222371</v>
      </c>
      <c r="AH158" s="253">
        <f t="shared" si="155"/>
        <v>74.847688065157286</v>
      </c>
      <c r="AI158" s="253">
        <f t="shared" si="155"/>
        <v>-64.909037558685469</v>
      </c>
      <c r="AJ158" s="253">
        <f t="shared" si="155"/>
        <v>-694.04966970482542</v>
      </c>
      <c r="AK158" s="317">
        <f t="shared" si="156"/>
        <v>-82.062472551602951</v>
      </c>
      <c r="AL158" s="265"/>
      <c r="BB158" s="265"/>
      <c r="BC158" s="314"/>
      <c r="BD158" s="265"/>
      <c r="BE158" s="265"/>
      <c r="BF158" s="316"/>
    </row>
    <row r="159" spans="1:58" ht="11.7" customHeight="1">
      <c r="A159" s="82" t="s">
        <v>10</v>
      </c>
      <c r="B159" s="34">
        <f t="shared" ref="B159:Q159" si="161">+B99-B129</f>
        <v>-731.61822016797805</v>
      </c>
      <c r="C159" s="34">
        <f t="shared" si="161"/>
        <v>-1181.0761858066576</v>
      </c>
      <c r="D159" s="34">
        <f t="shared" si="161"/>
        <v>-719.08178596405742</v>
      </c>
      <c r="E159" s="34">
        <f t="shared" si="161"/>
        <v>-1069.1203744764721</v>
      </c>
      <c r="F159" s="34">
        <f t="shared" si="161"/>
        <v>-2075.9548709905439</v>
      </c>
      <c r="G159" s="34">
        <f t="shared" si="161"/>
        <v>-1398.3649001536105</v>
      </c>
      <c r="H159" s="34">
        <f t="shared" si="161"/>
        <v>716.2800000000002</v>
      </c>
      <c r="I159" s="34">
        <f t="shared" si="161"/>
        <v>798.6599999999994</v>
      </c>
      <c r="J159" s="34">
        <f t="shared" si="161"/>
        <v>494.73000000000047</v>
      </c>
      <c r="K159" s="34">
        <f t="shared" si="161"/>
        <v>11.420000000000073</v>
      </c>
      <c r="L159" s="34">
        <f t="shared" si="161"/>
        <v>-250.92000000000007</v>
      </c>
      <c r="M159" s="34">
        <f t="shared" si="161"/>
        <v>174.5</v>
      </c>
      <c r="N159" s="34">
        <f t="shared" si="161"/>
        <v>-286.85999999999967</v>
      </c>
      <c r="O159" s="34">
        <f t="shared" si="161"/>
        <v>-1463.3400000000001</v>
      </c>
      <c r="P159" s="34">
        <f t="shared" si="161"/>
        <v>-581</v>
      </c>
      <c r="Q159" s="34">
        <f t="shared" si="161"/>
        <v>65.049999999999272</v>
      </c>
      <c r="R159" s="34">
        <f>+R99-R129</f>
        <v>-1336.1799999999985</v>
      </c>
      <c r="S159" s="34">
        <f>+S99-S129</f>
        <v>614.24246899999889</v>
      </c>
      <c r="T159" s="34">
        <f>+T99-T129</f>
        <v>-491.16272000000026</v>
      </c>
      <c r="U159" s="34">
        <f>+U99-U129</f>
        <v>-1087.8752899999999</v>
      </c>
      <c r="V159" s="34">
        <f>+V99-V129</f>
        <v>-2867.6800000000003</v>
      </c>
      <c r="W159" s="35"/>
      <c r="X159" s="36">
        <f t="shared" si="155"/>
        <v>61.433402456199751</v>
      </c>
      <c r="Y159" s="36">
        <f t="shared" si="155"/>
        <v>-39.116392777580636</v>
      </c>
      <c r="Z159" s="36">
        <f t="shared" si="155"/>
        <v>48.678550249068749</v>
      </c>
      <c r="AA159" s="36">
        <f t="shared" si="155"/>
        <v>94.174100555056725</v>
      </c>
      <c r="AB159" s="36">
        <f t="shared" si="155"/>
        <v>-32.639918155524292</v>
      </c>
      <c r="AC159" s="36">
        <f t="shared" si="155"/>
        <v>-151.22268157054833</v>
      </c>
      <c r="AD159" s="37">
        <f t="shared" si="155"/>
        <v>11.501088959624607</v>
      </c>
      <c r="AE159" s="37">
        <f t="shared" si="155"/>
        <v>-38.054992111787136</v>
      </c>
      <c r="AF159" s="42">
        <f t="shared" si="155"/>
        <v>-97.691670203949627</v>
      </c>
      <c r="AG159" s="44">
        <f t="shared" si="155"/>
        <v>-2297.1978984238044</v>
      </c>
      <c r="AH159" s="37">
        <f t="shared" si="155"/>
        <v>-169.54407779371908</v>
      </c>
      <c r="AI159" s="37">
        <f t="shared" si="155"/>
        <v>-264.38968481375343</v>
      </c>
      <c r="AJ159" s="37">
        <f t="shared" si="155"/>
        <v>410.12340514536766</v>
      </c>
      <c r="AK159" s="288">
        <f t="shared" si="156"/>
        <v>-60.296308445064042</v>
      </c>
      <c r="AL159" s="77"/>
      <c r="BB159" s="280"/>
      <c r="BC159" s="77"/>
      <c r="BD159" s="77"/>
      <c r="BE159" s="77"/>
      <c r="BF159" s="279"/>
    </row>
    <row r="160" spans="1:58" ht="11.7" hidden="1" customHeight="1">
      <c r="A160" s="304" t="s">
        <v>11</v>
      </c>
      <c r="B160" s="252">
        <f t="shared" ref="B160:U160" si="162">+B158+B159</f>
        <v>-2471.208196780377</v>
      </c>
      <c r="C160" s="252">
        <f t="shared" si="162"/>
        <v>-3931.3994819399354</v>
      </c>
      <c r="D160" s="252">
        <f t="shared" si="162"/>
        <v>-2982.6015004596015</v>
      </c>
      <c r="E160" s="252">
        <f t="shared" si="162"/>
        <v>-4305.3011638906628</v>
      </c>
      <c r="F160" s="252">
        <f t="shared" si="162"/>
        <v>-6467.2051800491854</v>
      </c>
      <c r="G160" s="252">
        <f t="shared" si="162"/>
        <v>-4858.2333649756256</v>
      </c>
      <c r="H160" s="252">
        <f t="shared" si="162"/>
        <v>3586.6600000000003</v>
      </c>
      <c r="I160" s="252">
        <f t="shared" si="162"/>
        <v>2482.4399999999996</v>
      </c>
      <c r="J160" s="252">
        <f t="shared" si="162"/>
        <v>3162.3300000000008</v>
      </c>
      <c r="K160" s="252">
        <f t="shared" si="162"/>
        <v>36.900000000000546</v>
      </c>
      <c r="L160" s="252">
        <f t="shared" si="162"/>
        <v>528.73000000000047</v>
      </c>
      <c r="M160" s="252">
        <f t="shared" si="162"/>
        <v>1537.6999999999998</v>
      </c>
      <c r="N160" s="252">
        <f t="shared" si="162"/>
        <v>191.5</v>
      </c>
      <c r="O160" s="252">
        <f t="shared" si="162"/>
        <v>-4305.036000000001</v>
      </c>
      <c r="P160" s="252">
        <f t="shared" si="162"/>
        <v>-1090.7300000000014</v>
      </c>
      <c r="Q160" s="252">
        <f t="shared" si="162"/>
        <v>3546.5699999999997</v>
      </c>
      <c r="R160" s="252">
        <f t="shared" si="162"/>
        <v>-1677.1699999999983</v>
      </c>
      <c r="S160" s="252">
        <f t="shared" si="162"/>
        <v>7601.5882500000016</v>
      </c>
      <c r="T160" s="252">
        <f t="shared" si="162"/>
        <v>1206.3718070000014</v>
      </c>
      <c r="U160" s="252">
        <f t="shared" si="162"/>
        <v>135.80983600000036</v>
      </c>
      <c r="V160" s="252">
        <f>+V158+V159</f>
        <v>-8054.2900000000009</v>
      </c>
      <c r="W160" s="39"/>
      <c r="X160" s="40">
        <f t="shared" si="155"/>
        <v>59.088153198179505</v>
      </c>
      <c r="Y160" s="40">
        <f t="shared" si="155"/>
        <v>-24.133848158624495</v>
      </c>
      <c r="Z160" s="40">
        <f t="shared" si="155"/>
        <v>44.347180246078487</v>
      </c>
      <c r="AA160" s="40">
        <f t="shared" si="155"/>
        <v>50.214931171152479</v>
      </c>
      <c r="AB160" s="40">
        <f t="shared" si="155"/>
        <v>-24.878935649623578</v>
      </c>
      <c r="AC160" s="40">
        <f t="shared" si="155"/>
        <v>-173.8264247629034</v>
      </c>
      <c r="AD160" s="253">
        <f t="shared" si="155"/>
        <v>-30.786860198624922</v>
      </c>
      <c r="AE160" s="253">
        <f t="shared" si="155"/>
        <v>27.387973123217524</v>
      </c>
      <c r="AF160" s="320">
        <f t="shared" si="155"/>
        <v>-98.833138856476069</v>
      </c>
      <c r="AG160" s="321">
        <f t="shared" si="155"/>
        <v>1332.8726287262673</v>
      </c>
      <c r="AH160" s="253">
        <f t="shared" si="155"/>
        <v>190.82896752595815</v>
      </c>
      <c r="AI160" s="253">
        <f t="shared" si="155"/>
        <v>-87.546335436040835</v>
      </c>
      <c r="AJ160" s="320">
        <f t="shared" si="155"/>
        <v>-2348.0605744125332</v>
      </c>
      <c r="AK160" s="317">
        <f t="shared" si="156"/>
        <v>-74.663858792353864</v>
      </c>
      <c r="AL160" s="265"/>
      <c r="BB160" s="265"/>
      <c r="BC160" s="265"/>
      <c r="BD160" s="265"/>
      <c r="BE160" s="265"/>
      <c r="BF160" s="316"/>
    </row>
    <row r="161" spans="1:58" ht="11.7" customHeight="1">
      <c r="A161" s="82" t="s">
        <v>12</v>
      </c>
      <c r="B161" s="34">
        <f t="shared" ref="B161:V163" si="163">+B101-B131</f>
        <v>-502.10840004978581</v>
      </c>
      <c r="C161" s="34">
        <f t="shared" si="163"/>
        <v>-874.67468554039169</v>
      </c>
      <c r="D161" s="34">
        <f t="shared" si="163"/>
        <v>-711.21403118440367</v>
      </c>
      <c r="E161" s="34">
        <f t="shared" si="163"/>
        <v>-1428.8181129609065</v>
      </c>
      <c r="F161" s="34">
        <f t="shared" si="163"/>
        <v>-1476.1499438546998</v>
      </c>
      <c r="G161" s="34">
        <f t="shared" si="163"/>
        <v>-580.8707951070337</v>
      </c>
      <c r="H161" s="34">
        <f t="shared" si="163"/>
        <v>949.71</v>
      </c>
      <c r="I161" s="34">
        <f t="shared" si="163"/>
        <v>1162.83</v>
      </c>
      <c r="J161" s="34">
        <f t="shared" si="163"/>
        <v>600.79</v>
      </c>
      <c r="K161" s="34">
        <f t="shared" si="163"/>
        <v>441.47000000000025</v>
      </c>
      <c r="L161" s="34">
        <f t="shared" si="163"/>
        <v>655.94999999999982</v>
      </c>
      <c r="M161" s="34">
        <f t="shared" si="163"/>
        <v>759.23999999999978</v>
      </c>
      <c r="N161" s="34">
        <f t="shared" si="163"/>
        <v>93.460000000000036</v>
      </c>
      <c r="O161" s="34">
        <f t="shared" si="163"/>
        <v>-1645.17</v>
      </c>
      <c r="P161" s="34">
        <f t="shared" si="163"/>
        <v>-683.82999999999993</v>
      </c>
      <c r="Q161" s="34">
        <f t="shared" si="163"/>
        <v>506.90000000000146</v>
      </c>
      <c r="R161" s="34">
        <f t="shared" si="163"/>
        <v>1712.2000000000007</v>
      </c>
      <c r="S161" s="34">
        <f t="shared" si="163"/>
        <v>2396.5449589999989</v>
      </c>
      <c r="T161" s="34">
        <f t="shared" si="163"/>
        <v>2211.2099999999991</v>
      </c>
      <c r="U161" s="34">
        <f t="shared" si="163"/>
        <v>-187.89497699999993</v>
      </c>
      <c r="V161" s="34">
        <f t="shared" si="163"/>
        <v>-1739.7099999999991</v>
      </c>
      <c r="W161" s="39"/>
      <c r="X161" s="40">
        <f t="shared" si="155"/>
        <v>74.200368974839819</v>
      </c>
      <c r="Y161" s="40">
        <f t="shared" si="155"/>
        <v>-18.688165675561851</v>
      </c>
      <c r="Z161" s="40">
        <f t="shared" si="155"/>
        <v>100.89847082761536</v>
      </c>
      <c r="AA161" s="40">
        <f t="shared" si="155"/>
        <v>3.3126561361759732</v>
      </c>
      <c r="AB161" s="40">
        <f t="shared" si="155"/>
        <v>-60.649607614373224</v>
      </c>
      <c r="AC161" s="40">
        <f t="shared" si="155"/>
        <v>-263.49763286429339</v>
      </c>
      <c r="AD161" s="253">
        <f t="shared" si="155"/>
        <v>22.440534478946184</v>
      </c>
      <c r="AE161" s="253">
        <f t="shared" si="155"/>
        <v>-48.333806317346472</v>
      </c>
      <c r="AF161" s="253">
        <f t="shared" si="155"/>
        <v>-26.518417417067486</v>
      </c>
      <c r="AG161" s="253">
        <f t="shared" si="155"/>
        <v>48.583142682401849</v>
      </c>
      <c r="AH161" s="37">
        <f t="shared" si="155"/>
        <v>15.746627029499205</v>
      </c>
      <c r="AI161" s="37">
        <f t="shared" si="155"/>
        <v>-87.690321900848218</v>
      </c>
      <c r="AJ161" s="42">
        <f t="shared" si="155"/>
        <v>-1860.2931735501811</v>
      </c>
      <c r="AK161" s="288">
        <f t="shared" si="156"/>
        <v>-58.434082799953813</v>
      </c>
      <c r="AL161" s="77"/>
      <c r="BB161" s="77"/>
      <c r="BC161" s="77"/>
      <c r="BD161" s="77"/>
      <c r="BE161" s="77"/>
      <c r="BF161" s="279"/>
    </row>
    <row r="162" spans="1:58" ht="11.7" hidden="1" customHeight="1">
      <c r="A162" s="304" t="s">
        <v>13</v>
      </c>
      <c r="B162" s="252">
        <f t="shared" ref="B162:U162" si="164">+B158+B159+B161</f>
        <v>-2973.3165968301628</v>
      </c>
      <c r="C162" s="252">
        <f t="shared" si="164"/>
        <v>-4806.0741674803267</v>
      </c>
      <c r="D162" s="252">
        <f t="shared" si="164"/>
        <v>-3693.8155316440052</v>
      </c>
      <c r="E162" s="252">
        <f t="shared" si="164"/>
        <v>-5734.1192768515693</v>
      </c>
      <c r="F162" s="252">
        <f t="shared" si="164"/>
        <v>-7943.3551239038852</v>
      </c>
      <c r="G162" s="252">
        <f t="shared" si="164"/>
        <v>-5439.1041600826593</v>
      </c>
      <c r="H162" s="252">
        <f t="shared" si="164"/>
        <v>4536.3700000000008</v>
      </c>
      <c r="I162" s="252">
        <f t="shared" si="164"/>
        <v>3645.2699999999995</v>
      </c>
      <c r="J162" s="252">
        <f t="shared" si="164"/>
        <v>3763.1200000000008</v>
      </c>
      <c r="K162" s="252">
        <f t="shared" si="164"/>
        <v>478.3700000000008</v>
      </c>
      <c r="L162" s="252">
        <f t="shared" si="164"/>
        <v>1184.6800000000003</v>
      </c>
      <c r="M162" s="252">
        <f t="shared" si="164"/>
        <v>2296.9399999999996</v>
      </c>
      <c r="N162" s="252">
        <f t="shared" si="164"/>
        <v>284.96000000000004</v>
      </c>
      <c r="O162" s="252">
        <f t="shared" si="164"/>
        <v>-5950.206000000001</v>
      </c>
      <c r="P162" s="252">
        <f t="shared" si="164"/>
        <v>-1774.5600000000013</v>
      </c>
      <c r="Q162" s="252">
        <f t="shared" si="164"/>
        <v>4053.4700000000012</v>
      </c>
      <c r="R162" s="252">
        <f t="shared" si="164"/>
        <v>35.030000000002474</v>
      </c>
      <c r="S162" s="252">
        <f t="shared" si="164"/>
        <v>9998.1332089999996</v>
      </c>
      <c r="T162" s="252">
        <f t="shared" si="164"/>
        <v>3417.5818070000005</v>
      </c>
      <c r="U162" s="252">
        <f t="shared" si="164"/>
        <v>-52.085140999999567</v>
      </c>
      <c r="V162" s="34">
        <f t="shared" si="163"/>
        <v>-9794</v>
      </c>
      <c r="W162" s="39"/>
      <c r="X162" s="40">
        <f t="shared" si="155"/>
        <v>61.640175573770286</v>
      </c>
      <c r="Y162" s="40">
        <f t="shared" si="155"/>
        <v>-23.142768860336659</v>
      </c>
      <c r="Z162" s="40">
        <f t="shared" si="155"/>
        <v>55.235669668092143</v>
      </c>
      <c r="AA162" s="40">
        <f t="shared" si="155"/>
        <v>38.527901851831373</v>
      </c>
      <c r="AB162" s="40">
        <f t="shared" si="155"/>
        <v>-31.526362912885521</v>
      </c>
      <c r="AC162" s="40">
        <f t="shared" si="155"/>
        <v>-183.40288890387899</v>
      </c>
      <c r="AD162" s="253">
        <f t="shared" si="155"/>
        <v>-19.643459417992826</v>
      </c>
      <c r="AE162" s="253">
        <f t="shared" si="155"/>
        <v>3.2329566808494636</v>
      </c>
      <c r="AF162" s="253">
        <f t="shared" si="155"/>
        <v>-87.28794192053401</v>
      </c>
      <c r="AG162" s="253">
        <f t="shared" si="155"/>
        <v>147.64930911219315</v>
      </c>
      <c r="AH162" s="253">
        <f t="shared" si="155"/>
        <v>93.886956815342444</v>
      </c>
      <c r="AI162" s="253">
        <f t="shared" si="155"/>
        <v>-87.593929314653408</v>
      </c>
      <c r="AJ162" s="320">
        <f t="shared" si="155"/>
        <v>-2188.0846434587311</v>
      </c>
      <c r="AK162" s="317">
        <f t="shared" si="156"/>
        <v>-70.176494729762283</v>
      </c>
      <c r="AL162" s="265"/>
      <c r="BB162" s="265"/>
      <c r="BC162" s="313"/>
      <c r="BD162" s="265"/>
      <c r="BE162" s="265"/>
      <c r="BF162" s="279"/>
    </row>
    <row r="163" spans="1:58" ht="11.7" customHeight="1">
      <c r="A163" s="82" t="s">
        <v>14</v>
      </c>
      <c r="B163" s="34">
        <f t="shared" ref="B163:P163" si="165">+B103-B133</f>
        <v>-947.52489202890683</v>
      </c>
      <c r="C163" s="34">
        <f t="shared" si="165"/>
        <v>-684.23348054768257</v>
      </c>
      <c r="D163" s="34">
        <f t="shared" si="165"/>
        <v>-990.83367624258472</v>
      </c>
      <c r="E163" s="34">
        <f t="shared" si="165"/>
        <v>-1127.6643028798671</v>
      </c>
      <c r="F163" s="34">
        <f t="shared" si="165"/>
        <v>-1337.3321237173532</v>
      </c>
      <c r="G163" s="34">
        <f t="shared" si="165"/>
        <v>-1108.2502357943558</v>
      </c>
      <c r="H163" s="34">
        <f t="shared" si="165"/>
        <v>943.85000000000036</v>
      </c>
      <c r="I163" s="34">
        <f t="shared" si="165"/>
        <v>184.07999999999993</v>
      </c>
      <c r="J163" s="34">
        <f t="shared" si="165"/>
        <v>101.34999999999945</v>
      </c>
      <c r="K163" s="34">
        <f t="shared" si="165"/>
        <v>703.24000000000069</v>
      </c>
      <c r="L163" s="34">
        <f t="shared" si="165"/>
        <v>520.65000000000055</v>
      </c>
      <c r="M163" s="34">
        <f t="shared" si="165"/>
        <v>769.13999999999942</v>
      </c>
      <c r="N163" s="34">
        <f t="shared" si="165"/>
        <v>173.80999999999949</v>
      </c>
      <c r="O163" s="34">
        <f t="shared" si="165"/>
        <v>-1763.2399999999998</v>
      </c>
      <c r="P163" s="34">
        <f t="shared" si="165"/>
        <v>-467.04999999999927</v>
      </c>
      <c r="Q163" s="34">
        <f>+Q103-Q133</f>
        <v>822.32999999999993</v>
      </c>
      <c r="R163" s="34">
        <f>+R103-R133</f>
        <v>538.26000000000022</v>
      </c>
      <c r="S163" s="34">
        <f>+S103-S133</f>
        <v>933.52857800000129</v>
      </c>
      <c r="T163" s="34">
        <f>+T103-T133</f>
        <v>2334.58</v>
      </c>
      <c r="U163" s="34">
        <f>+U103-U133</f>
        <v>431.9837609999995</v>
      </c>
      <c r="V163" s="34">
        <f t="shared" si="163"/>
        <v>-546.31999999999971</v>
      </c>
      <c r="W163" s="35"/>
      <c r="X163" s="36">
        <f t="shared" si="155"/>
        <v>-27.78728175862971</v>
      </c>
      <c r="Y163" s="36">
        <f t="shared" si="155"/>
        <v>44.809294548037812</v>
      </c>
      <c r="Z163" s="36">
        <f t="shared" si="155"/>
        <v>13.809646353176873</v>
      </c>
      <c r="AA163" s="36">
        <f t="shared" si="155"/>
        <v>18.593106148880413</v>
      </c>
      <c r="AB163" s="36">
        <f t="shared" si="155"/>
        <v>-17.129767831062292</v>
      </c>
      <c r="AC163" s="36">
        <f t="shared" si="155"/>
        <v>-185.16578381988623</v>
      </c>
      <c r="AD163" s="37">
        <f t="shared" si="155"/>
        <v>-80.496900990623516</v>
      </c>
      <c r="AE163" s="37">
        <f t="shared" si="155"/>
        <v>-44.942416340721699</v>
      </c>
      <c r="AF163" s="37">
        <f t="shared" si="155"/>
        <v>593.87271830291513</v>
      </c>
      <c r="AG163" s="37">
        <f t="shared" si="155"/>
        <v>-25.964108981286614</v>
      </c>
      <c r="AH163" s="37">
        <f t="shared" si="155"/>
        <v>47.726879861711048</v>
      </c>
      <c r="AI163" s="37">
        <f t="shared" si="155"/>
        <v>-77.402033439945967</v>
      </c>
      <c r="AJ163" s="42">
        <f t="shared" si="155"/>
        <v>-1114.4640699614549</v>
      </c>
      <c r="AK163" s="288">
        <f t="shared" si="156"/>
        <v>-73.511830493863613</v>
      </c>
      <c r="AL163" s="77"/>
      <c r="BB163" s="77"/>
      <c r="BC163" s="77"/>
      <c r="BD163" s="77"/>
      <c r="BE163" s="77"/>
      <c r="BF163" s="279"/>
    </row>
    <row r="164" spans="1:58" ht="11.7" customHeight="1">
      <c r="A164" s="84" t="s">
        <v>15</v>
      </c>
      <c r="B164" s="38">
        <f t="shared" ref="B164:V164" si="166">+B159+B161+B163</f>
        <v>-2181.2515122466707</v>
      </c>
      <c r="C164" s="38">
        <f t="shared" si="166"/>
        <v>-2739.9843518947318</v>
      </c>
      <c r="D164" s="38">
        <f t="shared" si="166"/>
        <v>-2421.1294933910458</v>
      </c>
      <c r="E164" s="38">
        <f t="shared" si="166"/>
        <v>-3625.6027903172458</v>
      </c>
      <c r="F164" s="38">
        <f t="shared" si="166"/>
        <v>-4889.4369385625969</v>
      </c>
      <c r="G164" s="38">
        <f t="shared" si="166"/>
        <v>-3087.485931055</v>
      </c>
      <c r="H164" s="38">
        <f t="shared" si="166"/>
        <v>2609.8400000000006</v>
      </c>
      <c r="I164" s="38">
        <f t="shared" si="166"/>
        <v>2145.5699999999993</v>
      </c>
      <c r="J164" s="38">
        <f t="shared" si="166"/>
        <v>1196.8699999999999</v>
      </c>
      <c r="K164" s="38">
        <f t="shared" si="166"/>
        <v>1156.130000000001</v>
      </c>
      <c r="L164" s="38">
        <f t="shared" si="166"/>
        <v>925.68000000000029</v>
      </c>
      <c r="M164" s="38">
        <f t="shared" si="166"/>
        <v>1702.8799999999992</v>
      </c>
      <c r="N164" s="38">
        <f t="shared" si="166"/>
        <v>-19.590000000000146</v>
      </c>
      <c r="O164" s="38">
        <f t="shared" si="166"/>
        <v>-4871.75</v>
      </c>
      <c r="P164" s="38">
        <f t="shared" si="166"/>
        <v>-1731.8799999999992</v>
      </c>
      <c r="Q164" s="38">
        <f t="shared" si="166"/>
        <v>1394.2800000000007</v>
      </c>
      <c r="R164" s="38">
        <f t="shared" si="166"/>
        <v>914.28000000000247</v>
      </c>
      <c r="S164" s="38">
        <f t="shared" si="166"/>
        <v>3944.3160059999991</v>
      </c>
      <c r="T164" s="38">
        <f t="shared" si="166"/>
        <v>4054.6272799999988</v>
      </c>
      <c r="U164" s="38">
        <f t="shared" si="166"/>
        <v>-843.78650600000037</v>
      </c>
      <c r="V164" s="38">
        <f t="shared" si="166"/>
        <v>-5153.7099999999991</v>
      </c>
      <c r="W164" s="39"/>
      <c r="X164" s="40">
        <f t="shared" si="155"/>
        <v>25.615241365383447</v>
      </c>
      <c r="Y164" s="40">
        <f t="shared" si="155"/>
        <v>-11.63710509088105</v>
      </c>
      <c r="Z164" s="40">
        <f t="shared" si="155"/>
        <v>49.748404627429025</v>
      </c>
      <c r="AA164" s="40">
        <f t="shared" si="155"/>
        <v>34.858593765997291</v>
      </c>
      <c r="AB164" s="40">
        <f t="shared" si="155"/>
        <v>-36.853957421881326</v>
      </c>
      <c r="AC164" s="40">
        <f t="shared" si="155"/>
        <v>-184.52961594899361</v>
      </c>
      <c r="AD164" s="253">
        <f t="shared" si="155"/>
        <v>-17.789213131839542</v>
      </c>
      <c r="AE164" s="253">
        <f t="shared" si="155"/>
        <v>-44.216688339229194</v>
      </c>
      <c r="AF164" s="253">
        <f t="shared" si="155"/>
        <v>-3.403878449622677</v>
      </c>
      <c r="AG164" s="253">
        <f t="shared" si="155"/>
        <v>-19.932879520469193</v>
      </c>
      <c r="AH164" s="253">
        <f t="shared" si="155"/>
        <v>83.959899749373278</v>
      </c>
      <c r="AI164" s="253">
        <f t="shared" si="155"/>
        <v>-101.15040402142255</v>
      </c>
      <c r="AJ164" s="321">
        <f t="shared" si="155"/>
        <v>24768.55538540053</v>
      </c>
      <c r="AK164" s="317">
        <f t="shared" si="156"/>
        <v>-64.450556781444064</v>
      </c>
      <c r="AL164" s="265"/>
      <c r="AN164" s="76"/>
      <c r="AO164" s="76"/>
      <c r="AP164" s="76"/>
      <c r="AQ164" s="76"/>
      <c r="AR164" s="76"/>
      <c r="AS164" s="76"/>
      <c r="AT164" s="76"/>
      <c r="AU164" s="76"/>
      <c r="AV164" s="76"/>
      <c r="AW164" s="76"/>
      <c r="AX164" s="76"/>
      <c r="BB164" s="265"/>
      <c r="BC164" s="265"/>
      <c r="BD164" s="265"/>
      <c r="BE164" s="265"/>
      <c r="BF164" s="322"/>
    </row>
    <row r="165" spans="1:58" ht="11.7" customHeight="1">
      <c r="A165" s="84" t="s">
        <v>16</v>
      </c>
      <c r="B165" s="38">
        <f t="shared" ref="B165:V165" si="167">+B158+B159+B161+B163</f>
        <v>-3920.8414888590696</v>
      </c>
      <c r="C165" s="38">
        <f t="shared" si="167"/>
        <v>-5490.3076480280088</v>
      </c>
      <c r="D165" s="38">
        <f t="shared" si="167"/>
        <v>-4684.6492078865904</v>
      </c>
      <c r="E165" s="38">
        <f t="shared" si="167"/>
        <v>-6861.7835797314365</v>
      </c>
      <c r="F165" s="38">
        <f t="shared" si="167"/>
        <v>-9280.6872476212375</v>
      </c>
      <c r="G165" s="38">
        <f t="shared" si="167"/>
        <v>-6547.3543958770151</v>
      </c>
      <c r="H165" s="38">
        <f t="shared" si="167"/>
        <v>5480.2200000000012</v>
      </c>
      <c r="I165" s="38">
        <f t="shared" si="167"/>
        <v>3829.3499999999995</v>
      </c>
      <c r="J165" s="38">
        <f t="shared" si="167"/>
        <v>3864.4700000000003</v>
      </c>
      <c r="K165" s="38">
        <f t="shared" si="167"/>
        <v>1181.6100000000015</v>
      </c>
      <c r="L165" s="38">
        <f t="shared" si="167"/>
        <v>1705.3300000000008</v>
      </c>
      <c r="M165" s="38">
        <f t="shared" si="167"/>
        <v>3066.079999999999</v>
      </c>
      <c r="N165" s="38">
        <f t="shared" si="167"/>
        <v>458.76999999999953</v>
      </c>
      <c r="O165" s="38">
        <f t="shared" si="167"/>
        <v>-7713.4460000000008</v>
      </c>
      <c r="P165" s="38">
        <f t="shared" si="167"/>
        <v>-2241.6100000000006</v>
      </c>
      <c r="Q165" s="38">
        <f t="shared" si="167"/>
        <v>4875.8000000000011</v>
      </c>
      <c r="R165" s="38">
        <f t="shared" si="167"/>
        <v>573.29000000000269</v>
      </c>
      <c r="S165" s="38">
        <f t="shared" si="167"/>
        <v>10931.661787000001</v>
      </c>
      <c r="T165" s="38">
        <f t="shared" si="167"/>
        <v>5752.1618070000004</v>
      </c>
      <c r="U165" s="38">
        <f t="shared" si="167"/>
        <v>379.89861999999994</v>
      </c>
      <c r="V165" s="38">
        <f t="shared" si="167"/>
        <v>-10340.32</v>
      </c>
      <c r="W165" s="39"/>
      <c r="X165" s="40">
        <f t="shared" si="155"/>
        <v>40.028809214259773</v>
      </c>
      <c r="Y165" s="40">
        <f t="shared" si="155"/>
        <v>-14.674194813669361</v>
      </c>
      <c r="Z165" s="40">
        <f t="shared" si="155"/>
        <v>46.473797188050895</v>
      </c>
      <c r="AA165" s="40">
        <f t="shared" si="155"/>
        <v>35.251821043071629</v>
      </c>
      <c r="AB165" s="40">
        <f t="shared" si="155"/>
        <v>-29.451836688547083</v>
      </c>
      <c r="AC165" s="40">
        <f t="shared" si="155"/>
        <v>-183.70128862202714</v>
      </c>
      <c r="AD165" s="253">
        <f t="shared" si="155"/>
        <v>-30.12415559959274</v>
      </c>
      <c r="AE165" s="253">
        <f t="shared" si="155"/>
        <v>0.9171269275464633</v>
      </c>
      <c r="AF165" s="253">
        <f t="shared" si="155"/>
        <v>-69.42375021671792</v>
      </c>
      <c r="AG165" s="253">
        <f t="shared" si="155"/>
        <v>44.322576823147976</v>
      </c>
      <c r="AH165" s="253">
        <f t="shared" si="155"/>
        <v>79.793940175801609</v>
      </c>
      <c r="AI165" s="253">
        <f t="shared" si="155"/>
        <v>-85.037246255805471</v>
      </c>
      <c r="AJ165" s="320">
        <f t="shared" si="155"/>
        <v>-1781.3318220459073</v>
      </c>
      <c r="AK165" s="317">
        <f t="shared" si="156"/>
        <v>-70.93892924122369</v>
      </c>
      <c r="AL165" s="265"/>
      <c r="BB165" s="265"/>
      <c r="BC165" s="314"/>
      <c r="BD165" s="265"/>
      <c r="BE165" s="265"/>
      <c r="BF165" s="322"/>
    </row>
    <row r="166" spans="1:58" ht="11.7" customHeight="1">
      <c r="A166" s="82" t="s">
        <v>17</v>
      </c>
      <c r="B166" s="34">
        <f t="shared" ref="B166:V168" si="168">+B106-B136</f>
        <v>-752.33353552555991</v>
      </c>
      <c r="C166" s="34">
        <f t="shared" si="168"/>
        <v>-562.99363090410816</v>
      </c>
      <c r="D166" s="34">
        <f t="shared" si="168"/>
        <v>-691.96303717394403</v>
      </c>
      <c r="E166" s="34">
        <f t="shared" si="168"/>
        <v>-1492.7221884888086</v>
      </c>
      <c r="F166" s="34">
        <f t="shared" si="168"/>
        <v>-1561.9582511505587</v>
      </c>
      <c r="G166" s="34">
        <f t="shared" si="168"/>
        <v>-515.42400264200842</v>
      </c>
      <c r="H166" s="34">
        <f t="shared" si="168"/>
        <v>997.52</v>
      </c>
      <c r="I166" s="34">
        <f t="shared" si="168"/>
        <v>1072.1599999999999</v>
      </c>
      <c r="J166" s="34">
        <f t="shared" si="168"/>
        <v>874.60000000000036</v>
      </c>
      <c r="K166" s="34">
        <f t="shared" si="168"/>
        <v>-121.19000000000051</v>
      </c>
      <c r="L166" s="34">
        <f t="shared" si="168"/>
        <v>-182.61999999999989</v>
      </c>
      <c r="M166" s="34">
        <f t="shared" si="168"/>
        <v>14.869999999999891</v>
      </c>
      <c r="N166" s="34">
        <f t="shared" si="168"/>
        <v>80.880000000000109</v>
      </c>
      <c r="O166" s="34">
        <f t="shared" si="168"/>
        <v>-49.489999999999782</v>
      </c>
      <c r="P166" s="34">
        <f t="shared" si="168"/>
        <v>-209.60999999999876</v>
      </c>
      <c r="Q166" s="34">
        <f t="shared" si="168"/>
        <v>376.40999999999985</v>
      </c>
      <c r="R166" s="34">
        <f t="shared" si="168"/>
        <v>-707.65999999999985</v>
      </c>
      <c r="S166" s="34">
        <f t="shared" si="168"/>
        <v>775.3719400000009</v>
      </c>
      <c r="T166" s="34">
        <f t="shared" si="168"/>
        <v>-939.26000000000204</v>
      </c>
      <c r="U166" s="34">
        <f t="shared" si="168"/>
        <v>1736.5499999999993</v>
      </c>
      <c r="V166" s="34">
        <f t="shared" si="168"/>
        <v>-1746.3400000000001</v>
      </c>
      <c r="W166" s="41"/>
      <c r="X166" s="36">
        <f t="shared" si="155"/>
        <v>-25.167016446925228</v>
      </c>
      <c r="Y166" s="36">
        <f t="shared" si="155"/>
        <v>22.907791347963325</v>
      </c>
      <c r="Z166" s="36">
        <f t="shared" si="155"/>
        <v>115.72282163874767</v>
      </c>
      <c r="AA166" s="36">
        <f t="shared" si="155"/>
        <v>4.6382416765602397</v>
      </c>
      <c r="AB166" s="36">
        <f t="shared" si="155"/>
        <v>-67.001422588450083</v>
      </c>
      <c r="AC166" s="36">
        <f t="shared" si="155"/>
        <v>-293.53386627064691</v>
      </c>
      <c r="AD166" s="37">
        <f t="shared" si="155"/>
        <v>7.4825567407169613</v>
      </c>
      <c r="AE166" s="37">
        <f t="shared" si="155"/>
        <v>-18.426354275481227</v>
      </c>
      <c r="AF166" s="42">
        <f t="shared" si="155"/>
        <v>-113.85662016922026</v>
      </c>
      <c r="AG166" s="37">
        <f t="shared" si="155"/>
        <v>50.689000742634803</v>
      </c>
      <c r="AH166" s="37">
        <f t="shared" si="155"/>
        <v>-108.14259117292733</v>
      </c>
      <c r="AI166" s="37">
        <f t="shared" si="155"/>
        <v>443.91392064559989</v>
      </c>
      <c r="AJ166" s="37">
        <f t="shared" si="155"/>
        <v>-161.18941641938639</v>
      </c>
      <c r="AK166" s="288">
        <f t="shared" si="156"/>
        <v>323.54010911295148</v>
      </c>
      <c r="AL166" s="77"/>
      <c r="BB166" s="77"/>
      <c r="BC166" s="77"/>
      <c r="BD166" s="77"/>
      <c r="BE166" s="77"/>
      <c r="BF166" s="77"/>
    </row>
    <row r="167" spans="1:58" ht="11.7" hidden="1" customHeight="1">
      <c r="A167" s="305" t="s">
        <v>19</v>
      </c>
      <c r="B167" s="252">
        <f t="shared" ref="B167:U167" si="169">+B165+B166</f>
        <v>-4673.1750243846291</v>
      </c>
      <c r="C167" s="252">
        <f t="shared" si="169"/>
        <v>-6053.3012789321165</v>
      </c>
      <c r="D167" s="252">
        <f t="shared" si="169"/>
        <v>-5376.6122450605344</v>
      </c>
      <c r="E167" s="252">
        <f t="shared" si="169"/>
        <v>-8354.505768220246</v>
      </c>
      <c r="F167" s="252">
        <f t="shared" si="169"/>
        <v>-10842.645498771795</v>
      </c>
      <c r="G167" s="252">
        <f t="shared" si="169"/>
        <v>-7062.7783985190235</v>
      </c>
      <c r="H167" s="252">
        <f t="shared" si="169"/>
        <v>6477.7400000000016</v>
      </c>
      <c r="I167" s="252">
        <f t="shared" si="169"/>
        <v>4901.5099999999993</v>
      </c>
      <c r="J167" s="252">
        <f t="shared" si="169"/>
        <v>4739.0700000000006</v>
      </c>
      <c r="K167" s="252">
        <f t="shared" si="169"/>
        <v>1060.420000000001</v>
      </c>
      <c r="L167" s="252">
        <f t="shared" si="169"/>
        <v>1522.7100000000009</v>
      </c>
      <c r="M167" s="252">
        <f t="shared" si="169"/>
        <v>3080.9499999999989</v>
      </c>
      <c r="N167" s="252">
        <f t="shared" si="169"/>
        <v>539.64999999999964</v>
      </c>
      <c r="O167" s="252">
        <f t="shared" si="169"/>
        <v>-7762.9360000000006</v>
      </c>
      <c r="P167" s="252">
        <f t="shared" si="169"/>
        <v>-2451.2199999999993</v>
      </c>
      <c r="Q167" s="252">
        <f t="shared" si="169"/>
        <v>5252.2100000000009</v>
      </c>
      <c r="R167" s="252">
        <f t="shared" si="169"/>
        <v>-134.36999999999716</v>
      </c>
      <c r="S167" s="252">
        <f t="shared" si="169"/>
        <v>11707.033727000002</v>
      </c>
      <c r="T167" s="252">
        <f t="shared" si="169"/>
        <v>4812.9018069999984</v>
      </c>
      <c r="U167" s="252">
        <f t="shared" si="169"/>
        <v>2116.4486199999992</v>
      </c>
      <c r="V167" s="34">
        <f t="shared" si="168"/>
        <v>-12086.660000000003</v>
      </c>
      <c r="W167" s="39"/>
      <c r="X167" s="40">
        <f t="shared" si="155"/>
        <v>29.53294595956686</v>
      </c>
      <c r="Y167" s="40">
        <f t="shared" si="155"/>
        <v>-11.178842794868437</v>
      </c>
      <c r="Z167" s="40">
        <f t="shared" si="155"/>
        <v>55.386057008211573</v>
      </c>
      <c r="AA167" s="40">
        <f t="shared" si="155"/>
        <v>29.782009846904401</v>
      </c>
      <c r="AB167" s="40">
        <f t="shared" si="155"/>
        <v>-34.861114851361123</v>
      </c>
      <c r="AC167" s="40">
        <f t="shared" si="155"/>
        <v>-191.7165969890589</v>
      </c>
      <c r="AD167" s="253">
        <f t="shared" si="155"/>
        <v>-24.333023554511325</v>
      </c>
      <c r="AE167" s="253">
        <f t="shared" si="155"/>
        <v>-3.3140807628669222</v>
      </c>
      <c r="AF167" s="253">
        <f t="shared" si="155"/>
        <v>-77.623879790760625</v>
      </c>
      <c r="AG167" s="253">
        <f t="shared" si="155"/>
        <v>43.594990664076462</v>
      </c>
      <c r="AH167" s="253">
        <f t="shared" si="155"/>
        <v>102.33333990057183</v>
      </c>
      <c r="AI167" s="253">
        <f t="shared" si="155"/>
        <v>-82.484298674110264</v>
      </c>
      <c r="AJ167" s="320">
        <f t="shared" si="155"/>
        <v>-1538.5131103493015</v>
      </c>
      <c r="AK167" s="317">
        <f t="shared" si="156"/>
        <v>-68.424060175170837</v>
      </c>
      <c r="AL167" s="265"/>
      <c r="BB167" s="265"/>
      <c r="BC167" s="313"/>
      <c r="BD167" s="265"/>
      <c r="BE167" s="265"/>
      <c r="BF167" s="77"/>
    </row>
    <row r="168" spans="1:58" ht="11.7" customHeight="1">
      <c r="A168" s="82" t="s">
        <v>20</v>
      </c>
      <c r="B168" s="34">
        <f t="shared" ref="B168:P168" si="170">+B108-B138</f>
        <v>-789.41685451300827</v>
      </c>
      <c r="C168" s="34">
        <f t="shared" si="170"/>
        <v>-436.87798894152365</v>
      </c>
      <c r="D168" s="34">
        <f t="shared" si="170"/>
        <v>-948.53426049512245</v>
      </c>
      <c r="E168" s="34">
        <f t="shared" si="170"/>
        <v>-1431.5500791060495</v>
      </c>
      <c r="F168" s="34">
        <f t="shared" si="170"/>
        <v>-1436.2491077298764</v>
      </c>
      <c r="G168" s="34">
        <f t="shared" si="170"/>
        <v>-99.068160775726938</v>
      </c>
      <c r="H168" s="34">
        <f t="shared" si="170"/>
        <v>974.50999999999976</v>
      </c>
      <c r="I168" s="34">
        <f t="shared" si="170"/>
        <v>805.84999999999945</v>
      </c>
      <c r="J168" s="34">
        <f t="shared" si="170"/>
        <v>446.34000000000015</v>
      </c>
      <c r="K168" s="34">
        <f t="shared" si="170"/>
        <v>641.63999999999942</v>
      </c>
      <c r="L168" s="34">
        <f t="shared" si="170"/>
        <v>239.10000000000036</v>
      </c>
      <c r="M168" s="43">
        <f t="shared" si="170"/>
        <v>198.63000000000011</v>
      </c>
      <c r="N168" s="43">
        <f t="shared" si="170"/>
        <v>-205.83000000000084</v>
      </c>
      <c r="O168" s="43">
        <f t="shared" si="170"/>
        <v>21.1299999999992</v>
      </c>
      <c r="P168" s="34">
        <f t="shared" si="170"/>
        <v>274.35000000000036</v>
      </c>
      <c r="Q168" s="34">
        <f>+Q108-Q138</f>
        <v>901.59000000000015</v>
      </c>
      <c r="R168" s="34">
        <f>+R108-R138</f>
        <v>-400.04000000000087</v>
      </c>
      <c r="S168" s="34">
        <f>+S108-S138</f>
        <v>2079.5749599999999</v>
      </c>
      <c r="T168" s="34">
        <f>+T108-T138</f>
        <v>641.27999999999884</v>
      </c>
      <c r="U168" s="34">
        <f>+U108-U138</f>
        <v>-1545.085751999999</v>
      </c>
      <c r="V168" s="34">
        <f t="shared" si="168"/>
        <v>-1020.6499999999978</v>
      </c>
      <c r="W168" s="41"/>
      <c r="X168" s="36">
        <f t="shared" si="155"/>
        <v>-44.658137656430718</v>
      </c>
      <c r="Y168" s="36">
        <f t="shared" si="155"/>
        <v>117.11651410803495</v>
      </c>
      <c r="Z168" s="36">
        <f t="shared" si="155"/>
        <v>50.922337624241322</v>
      </c>
      <c r="AA168" s="36">
        <f t="shared" si="155"/>
        <v>0.32824758926779385</v>
      </c>
      <c r="AB168" s="36">
        <f t="shared" si="155"/>
        <v>-93.102299577243031</v>
      </c>
      <c r="AC168" s="36">
        <f t="shared" si="155"/>
        <v>-1083.6762814302374</v>
      </c>
      <c r="AD168" s="37">
        <f t="shared" si="155"/>
        <v>-17.307159495541381</v>
      </c>
      <c r="AE168" s="37">
        <f t="shared" si="155"/>
        <v>-44.61252094062165</v>
      </c>
      <c r="AF168" s="37">
        <f t="shared" si="155"/>
        <v>43.755881166823315</v>
      </c>
      <c r="AG168" s="37">
        <f t="shared" si="155"/>
        <v>-62.736113708621566</v>
      </c>
      <c r="AH168" s="37">
        <f t="shared" si="155"/>
        <v>-16.925972396486909</v>
      </c>
      <c r="AI168" s="37">
        <f t="shared" si="155"/>
        <v>-203.62483008609007</v>
      </c>
      <c r="AJ168" s="37">
        <f t="shared" si="155"/>
        <v>-110.26575329155084</v>
      </c>
      <c r="AK168" s="288">
        <f t="shared" si="156"/>
        <v>1198.3909133933305</v>
      </c>
      <c r="AL168" s="77"/>
      <c r="BB168" s="77"/>
      <c r="BC168" s="77"/>
      <c r="BD168" s="77"/>
      <c r="BE168" s="77"/>
      <c r="BF168" s="77"/>
    </row>
    <row r="169" spans="1:58" ht="11.7" hidden="1" customHeight="1">
      <c r="A169" s="305" t="s">
        <v>21</v>
      </c>
      <c r="B169" s="252">
        <f t="shared" ref="B169:U169" si="171">B168+B167</f>
        <v>-5462.5918788976378</v>
      </c>
      <c r="C169" s="252">
        <f t="shared" si="171"/>
        <v>-6490.1792678736401</v>
      </c>
      <c r="D169" s="252">
        <f t="shared" si="171"/>
        <v>-6325.1465055556564</v>
      </c>
      <c r="E169" s="252">
        <f t="shared" si="171"/>
        <v>-9786.0558473262954</v>
      </c>
      <c r="F169" s="252">
        <f t="shared" si="171"/>
        <v>-12278.894606501672</v>
      </c>
      <c r="G169" s="252">
        <f t="shared" si="171"/>
        <v>-7161.8465592947505</v>
      </c>
      <c r="H169" s="252">
        <f t="shared" si="171"/>
        <v>7452.2500000000018</v>
      </c>
      <c r="I169" s="252">
        <f t="shared" si="171"/>
        <v>5707.3599999999988</v>
      </c>
      <c r="J169" s="252">
        <f t="shared" si="171"/>
        <v>5185.4100000000008</v>
      </c>
      <c r="K169" s="252">
        <f t="shared" si="171"/>
        <v>1702.0600000000004</v>
      </c>
      <c r="L169" s="252">
        <f t="shared" si="171"/>
        <v>1761.8100000000013</v>
      </c>
      <c r="M169" s="252">
        <f t="shared" si="171"/>
        <v>3279.579999999999</v>
      </c>
      <c r="N169" s="252">
        <f t="shared" si="171"/>
        <v>333.8199999999988</v>
      </c>
      <c r="O169" s="252">
        <f t="shared" si="171"/>
        <v>-7741.8060000000014</v>
      </c>
      <c r="P169" s="252">
        <f t="shared" si="171"/>
        <v>-2176.869999999999</v>
      </c>
      <c r="Q169" s="252">
        <f t="shared" si="171"/>
        <v>6153.8000000000011</v>
      </c>
      <c r="R169" s="252">
        <f t="shared" si="171"/>
        <v>-534.40999999999804</v>
      </c>
      <c r="S169" s="252">
        <f t="shared" si="171"/>
        <v>13786.608687000002</v>
      </c>
      <c r="T169" s="252">
        <f t="shared" si="171"/>
        <v>5454.1818069999972</v>
      </c>
      <c r="U169" s="252">
        <f t="shared" si="171"/>
        <v>571.36286800000016</v>
      </c>
      <c r="V169" s="252">
        <f>V168+V167</f>
        <v>-13107.310000000001</v>
      </c>
      <c r="W169" s="39"/>
      <c r="X169" s="40"/>
      <c r="Y169" s="40"/>
      <c r="Z169" s="40"/>
      <c r="AA169" s="40"/>
      <c r="AB169" s="40"/>
      <c r="AC169" s="40"/>
      <c r="AD169" s="253"/>
      <c r="AE169" s="253"/>
      <c r="AF169" s="37">
        <f t="shared" si="155"/>
        <v>-67.175980298568476</v>
      </c>
      <c r="AG169" s="37">
        <f t="shared" si="155"/>
        <v>3.5104520404686701</v>
      </c>
      <c r="AH169" s="253">
        <f t="shared" si="155"/>
        <v>86.148336086183903</v>
      </c>
      <c r="AI169" s="253">
        <f t="shared" si="155"/>
        <v>-89.821257600058573</v>
      </c>
      <c r="AJ169" s="320">
        <f t="shared" si="155"/>
        <v>-2419.155832484581</v>
      </c>
      <c r="AK169" s="317">
        <f t="shared" si="155"/>
        <v>-71.881625553520735</v>
      </c>
      <c r="AL169" s="265"/>
      <c r="BB169" s="265"/>
      <c r="BC169" s="313"/>
      <c r="BD169" s="265"/>
      <c r="BE169" s="265"/>
      <c r="BF169" s="265"/>
    </row>
    <row r="170" spans="1:58" ht="11.7" customHeight="1">
      <c r="A170" s="82" t="s">
        <v>22</v>
      </c>
      <c r="B170" s="34">
        <f t="shared" ref="B170:P170" si="172">+B110-B140</f>
        <v>-604.71538875835131</v>
      </c>
      <c r="C170" s="34">
        <f t="shared" si="172"/>
        <v>-355.30129981206346</v>
      </c>
      <c r="D170" s="34">
        <f t="shared" si="172"/>
        <v>-394.79036958378947</v>
      </c>
      <c r="E170" s="34">
        <f t="shared" si="172"/>
        <v>-438.13889459356233</v>
      </c>
      <c r="F170" s="34">
        <f t="shared" si="172"/>
        <v>-1008.3595813868533</v>
      </c>
      <c r="G170" s="34">
        <f t="shared" si="172"/>
        <v>214.35960190636433</v>
      </c>
      <c r="H170" s="34">
        <f t="shared" si="172"/>
        <v>1304.3200000000002</v>
      </c>
      <c r="I170" s="34">
        <f t="shared" si="172"/>
        <v>759.79</v>
      </c>
      <c r="J170" s="34">
        <f t="shared" si="172"/>
        <v>705.80000000000018</v>
      </c>
      <c r="K170" s="34">
        <f t="shared" si="172"/>
        <v>446.46000000000004</v>
      </c>
      <c r="L170" s="34">
        <f t="shared" si="172"/>
        <v>808.25</v>
      </c>
      <c r="M170" s="34">
        <f t="shared" si="172"/>
        <v>759.44999999999982</v>
      </c>
      <c r="N170" s="34">
        <f t="shared" si="172"/>
        <v>494.39999999999964</v>
      </c>
      <c r="O170" s="43">
        <f t="shared" si="172"/>
        <v>777.75799999999981</v>
      </c>
      <c r="P170" s="43">
        <f t="shared" si="172"/>
        <v>1491.42</v>
      </c>
      <c r="Q170" s="43">
        <f>+Q110-Q140</f>
        <v>2286.33</v>
      </c>
      <c r="R170" s="34">
        <f>+R110-R140</f>
        <v>559.51000000000022</v>
      </c>
      <c r="S170" s="34">
        <f>+S110-S140</f>
        <v>1979.5480420000004</v>
      </c>
      <c r="T170" s="34">
        <f>+T110-T140</f>
        <v>3067.01</v>
      </c>
      <c r="U170" s="34">
        <f>+U110-U140</f>
        <v>-21272.921032999999</v>
      </c>
      <c r="V170" s="34" t="s">
        <v>9</v>
      </c>
      <c r="W170" s="41"/>
      <c r="X170" s="36">
        <f t="shared" si="155"/>
        <v>-41.244872146945731</v>
      </c>
      <c r="Y170" s="36">
        <f t="shared" si="155"/>
        <v>11.114248608888788</v>
      </c>
      <c r="Z170" s="36">
        <f t="shared" si="155"/>
        <v>10.98013739683501</v>
      </c>
      <c r="AA170" s="36">
        <f t="shared" si="155"/>
        <v>130.14610066112797</v>
      </c>
      <c r="AB170" s="36">
        <f t="shared" si="155"/>
        <v>-121.25825011862767</v>
      </c>
      <c r="AC170" s="36">
        <f t="shared" si="155"/>
        <v>508.47285981140595</v>
      </c>
      <c r="AD170" s="37">
        <f t="shared" si="155"/>
        <v>-41.748190628066737</v>
      </c>
      <c r="AE170" s="37">
        <f t="shared" si="155"/>
        <v>-7.1059108437857565</v>
      </c>
      <c r="AF170" s="37">
        <f t="shared" si="155"/>
        <v>-36.744120147350536</v>
      </c>
      <c r="AG170" s="37">
        <f t="shared" si="155"/>
        <v>81.035255118039686</v>
      </c>
      <c r="AH170" s="37">
        <f t="shared" si="155"/>
        <v>-6.0377358490566246</v>
      </c>
      <c r="AI170" s="37">
        <f t="shared" si="155"/>
        <v>-34.900256764764002</v>
      </c>
      <c r="AJ170" s="37">
        <f t="shared" si="155"/>
        <v>57.313511326860912</v>
      </c>
      <c r="AK170" s="288">
        <f t="shared" si="155"/>
        <v>91.758876154279406</v>
      </c>
      <c r="AL170" s="7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BB170" s="77"/>
      <c r="BC170" s="77"/>
      <c r="BD170" s="77"/>
      <c r="BE170" s="283"/>
      <c r="BF170" s="283"/>
    </row>
    <row r="171" spans="1:58" ht="11.7" customHeight="1">
      <c r="A171" s="84" t="s">
        <v>23</v>
      </c>
      <c r="B171" s="38">
        <f t="shared" ref="B171:T171" si="173">+B166+B168+B170</f>
        <v>-2146.4657787969195</v>
      </c>
      <c r="C171" s="38">
        <f t="shared" si="173"/>
        <v>-1355.1729196576953</v>
      </c>
      <c r="D171" s="38">
        <f t="shared" si="173"/>
        <v>-2035.287667252856</v>
      </c>
      <c r="E171" s="38">
        <f t="shared" si="173"/>
        <v>-3362.4111621884203</v>
      </c>
      <c r="F171" s="38">
        <f t="shared" si="173"/>
        <v>-4006.5669402672884</v>
      </c>
      <c r="G171" s="38">
        <f t="shared" si="173"/>
        <v>-400.13256151137102</v>
      </c>
      <c r="H171" s="38">
        <f t="shared" si="173"/>
        <v>3276.35</v>
      </c>
      <c r="I171" s="38">
        <f t="shared" si="173"/>
        <v>2637.7999999999993</v>
      </c>
      <c r="J171" s="38">
        <f t="shared" si="173"/>
        <v>2026.7400000000007</v>
      </c>
      <c r="K171" s="38">
        <f t="shared" si="173"/>
        <v>966.90999999999894</v>
      </c>
      <c r="L171" s="38">
        <f t="shared" si="173"/>
        <v>864.73000000000047</v>
      </c>
      <c r="M171" s="38">
        <f t="shared" si="173"/>
        <v>972.94999999999982</v>
      </c>
      <c r="N171" s="38">
        <f t="shared" si="173"/>
        <v>369.44999999999891</v>
      </c>
      <c r="O171" s="38">
        <f t="shared" si="173"/>
        <v>749.39799999999923</v>
      </c>
      <c r="P171" s="38">
        <f t="shared" si="173"/>
        <v>1556.1600000000017</v>
      </c>
      <c r="Q171" s="38">
        <f t="shared" si="173"/>
        <v>3564.33</v>
      </c>
      <c r="R171" s="38">
        <f t="shared" si="173"/>
        <v>-548.19000000000051</v>
      </c>
      <c r="S171" s="38">
        <f t="shared" si="173"/>
        <v>4834.4949420000012</v>
      </c>
      <c r="T171" s="38">
        <f t="shared" si="173"/>
        <v>2769.029999999997</v>
      </c>
      <c r="U171" s="38">
        <f>+U166+U168+U170</f>
        <v>-21081.456784999998</v>
      </c>
      <c r="V171" s="38" t="s">
        <v>9</v>
      </c>
      <c r="W171" s="39"/>
      <c r="X171" s="40">
        <f t="shared" si="155"/>
        <v>-36.864918460649243</v>
      </c>
      <c r="Y171" s="40">
        <f t="shared" si="155"/>
        <v>50.186565694284369</v>
      </c>
      <c r="Z171" s="40">
        <f t="shared" si="155"/>
        <v>65.205696289943077</v>
      </c>
      <c r="AA171" s="40">
        <f t="shared" si="155"/>
        <v>19.157555308007602</v>
      </c>
      <c r="AB171" s="40">
        <f t="shared" si="155"/>
        <v>-90.013081835975086</v>
      </c>
      <c r="AC171" s="40">
        <f t="shared" si="155"/>
        <v>-918.81614123695647</v>
      </c>
      <c r="AD171" s="253">
        <f t="shared" si="155"/>
        <v>-19.489676011415156</v>
      </c>
      <c r="AE171" s="253">
        <f t="shared" si="155"/>
        <v>-23.165516718477473</v>
      </c>
      <c r="AF171" s="253">
        <f t="shared" si="155"/>
        <v>-52.29235126360566</v>
      </c>
      <c r="AG171" s="253">
        <f t="shared" si="155"/>
        <v>-10.567684686268485</v>
      </c>
      <c r="AH171" s="253">
        <f t="shared" si="155"/>
        <v>12.514889040509679</v>
      </c>
      <c r="AI171" s="253">
        <f t="shared" si="155"/>
        <v>-62.027853435428447</v>
      </c>
      <c r="AJ171" s="253">
        <f t="shared" si="155"/>
        <v>102.84152118013301</v>
      </c>
      <c r="AK171" s="317">
        <f t="shared" si="155"/>
        <v>107.65467748779729</v>
      </c>
      <c r="AL171" s="265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BB171" s="265"/>
      <c r="BC171" s="312"/>
      <c r="BD171" s="265"/>
      <c r="BE171" s="265"/>
      <c r="BF171" s="265"/>
    </row>
    <row r="172" spans="1:58" ht="11.7" hidden="1" customHeight="1">
      <c r="A172" s="305" t="s">
        <v>24</v>
      </c>
      <c r="B172" s="38">
        <f t="shared" ref="B172:V172" si="174">+B165+B166+B168+B170</f>
        <v>-6067.3072676559896</v>
      </c>
      <c r="C172" s="38">
        <f t="shared" si="174"/>
        <v>-6845.4805676857031</v>
      </c>
      <c r="D172" s="38">
        <f t="shared" si="174"/>
        <v>-6719.9368751394459</v>
      </c>
      <c r="E172" s="38">
        <f t="shared" si="174"/>
        <v>-10224.194741919859</v>
      </c>
      <c r="F172" s="38">
        <f t="shared" si="174"/>
        <v>-13287.254187888524</v>
      </c>
      <c r="G172" s="38">
        <f t="shared" si="174"/>
        <v>-6947.4869573883861</v>
      </c>
      <c r="H172" s="38">
        <f t="shared" si="174"/>
        <v>8756.5700000000015</v>
      </c>
      <c r="I172" s="38">
        <f t="shared" si="174"/>
        <v>6467.1499999999987</v>
      </c>
      <c r="J172" s="38">
        <f t="shared" si="174"/>
        <v>5891.2100000000009</v>
      </c>
      <c r="K172" s="38">
        <f t="shared" si="174"/>
        <v>2148.5200000000004</v>
      </c>
      <c r="L172" s="38">
        <f t="shared" si="174"/>
        <v>2570.0600000000013</v>
      </c>
      <c r="M172" s="38">
        <f t="shared" si="174"/>
        <v>4039.0299999999988</v>
      </c>
      <c r="N172" s="38">
        <f t="shared" si="174"/>
        <v>828.21999999999844</v>
      </c>
      <c r="O172" s="38">
        <f t="shared" si="174"/>
        <v>-6964.0480000000016</v>
      </c>
      <c r="P172" s="38">
        <f t="shared" si="174"/>
        <v>-685.44999999999891</v>
      </c>
      <c r="Q172" s="38">
        <f t="shared" si="174"/>
        <v>8440.130000000001</v>
      </c>
      <c r="R172" s="38">
        <f t="shared" si="174"/>
        <v>25.100000000002183</v>
      </c>
      <c r="S172" s="38">
        <f t="shared" si="174"/>
        <v>15766.156729000002</v>
      </c>
      <c r="T172" s="38">
        <f t="shared" si="174"/>
        <v>8521.1918069999974</v>
      </c>
      <c r="U172" s="38">
        <f t="shared" si="174"/>
        <v>-20701.558164999999</v>
      </c>
      <c r="V172" s="38" t="e">
        <f t="shared" si="174"/>
        <v>#VALUE!</v>
      </c>
      <c r="W172" s="39"/>
      <c r="X172" s="40">
        <f t="shared" si="155"/>
        <v>12.825678108937266</v>
      </c>
      <c r="Y172" s="40">
        <f t="shared" si="155"/>
        <v>-1.8339646326496095</v>
      </c>
      <c r="Z172" s="40">
        <f t="shared" si="155"/>
        <v>52.147184294907476</v>
      </c>
      <c r="AA172" s="40">
        <f t="shared" si="155"/>
        <v>29.958930979766297</v>
      </c>
      <c r="AB172" s="40">
        <f t="shared" si="155"/>
        <v>-47.713147809567033</v>
      </c>
      <c r="AC172" s="40">
        <f t="shared" si="155"/>
        <v>-226.03938738866898</v>
      </c>
      <c r="AD172" s="253">
        <f t="shared" si="155"/>
        <v>-26.145168713320423</v>
      </c>
      <c r="AE172" s="253">
        <f t="shared" si="155"/>
        <v>-8.9056230333299453</v>
      </c>
      <c r="AF172" s="253">
        <f t="shared" si="155"/>
        <v>-63.530072769431065</v>
      </c>
      <c r="AG172" s="253">
        <f t="shared" si="155"/>
        <v>19.620017500418928</v>
      </c>
      <c r="AH172" s="253">
        <f t="shared" si="155"/>
        <v>57.157031353353482</v>
      </c>
      <c r="AI172" s="253">
        <f t="shared" si="155"/>
        <v>-79.494581619844396</v>
      </c>
      <c r="AJ172" s="253">
        <f t="shared" si="155"/>
        <v>-940.84518606167615</v>
      </c>
      <c r="AK172" s="317">
        <f t="shared" si="155"/>
        <v>-90.157305061653815</v>
      </c>
      <c r="AL172" s="314"/>
      <c r="AN172" s="77"/>
      <c r="AO172" s="77"/>
      <c r="AP172" s="77"/>
      <c r="AQ172" s="77"/>
      <c r="AR172" s="77"/>
      <c r="AS172" s="77"/>
      <c r="AT172" s="77"/>
      <c r="AU172" s="77"/>
      <c r="AV172" s="77"/>
      <c r="AW172" s="77"/>
      <c r="AX172" s="77"/>
      <c r="AY172" s="77"/>
      <c r="AZ172" s="77"/>
      <c r="BB172" s="265"/>
      <c r="BC172" s="313"/>
      <c r="BD172" s="265"/>
      <c r="BE172" s="265"/>
      <c r="BF172" s="265"/>
    </row>
    <row r="173" spans="1:58" ht="11.7" customHeight="1">
      <c r="A173" s="82" t="s">
        <v>25</v>
      </c>
      <c r="B173" s="34">
        <f t="shared" ref="B173:U173" si="175">+B113-B143</f>
        <v>-646.58766633463438</v>
      </c>
      <c r="C173" s="34">
        <f t="shared" si="175"/>
        <v>-318.84069767588289</v>
      </c>
      <c r="D173" s="34">
        <f t="shared" si="175"/>
        <v>-618.36104627766645</v>
      </c>
      <c r="E173" s="34">
        <f t="shared" si="175"/>
        <v>-1245.9208060732199</v>
      </c>
      <c r="F173" s="34">
        <f t="shared" si="175"/>
        <v>-1298.2115672829777</v>
      </c>
      <c r="G173" s="34">
        <f t="shared" si="175"/>
        <v>563.01660510592137</v>
      </c>
      <c r="H173" s="34">
        <f t="shared" si="175"/>
        <v>1014.5499999999997</v>
      </c>
      <c r="I173" s="34">
        <f t="shared" si="175"/>
        <v>1045.83</v>
      </c>
      <c r="J173" s="34">
        <f t="shared" si="175"/>
        <v>317.02000000000044</v>
      </c>
      <c r="K173" s="34">
        <f t="shared" si="175"/>
        <v>374.83999999999924</v>
      </c>
      <c r="L173" s="34">
        <f t="shared" si="175"/>
        <v>515.77000000000044</v>
      </c>
      <c r="M173" s="34">
        <f t="shared" si="175"/>
        <v>431.5</v>
      </c>
      <c r="N173" s="34">
        <f t="shared" si="175"/>
        <v>617.56999999999971</v>
      </c>
      <c r="O173" s="34">
        <f t="shared" si="175"/>
        <v>-185.61000000000058</v>
      </c>
      <c r="P173" s="34">
        <f t="shared" si="175"/>
        <v>632.10000000000036</v>
      </c>
      <c r="Q173" s="34">
        <f t="shared" si="175"/>
        <v>1813.75</v>
      </c>
      <c r="R173" s="34">
        <f t="shared" si="175"/>
        <v>-558.47999999999956</v>
      </c>
      <c r="S173" s="34">
        <f t="shared" si="175"/>
        <v>1761.6494950000015</v>
      </c>
      <c r="T173" s="34">
        <f t="shared" si="175"/>
        <v>2153.1299999999992</v>
      </c>
      <c r="U173" s="34">
        <f t="shared" si="175"/>
        <v>-18085.28</v>
      </c>
      <c r="V173" s="34" t="s">
        <v>9</v>
      </c>
      <c r="W173" s="35"/>
      <c r="X173" s="36">
        <f t="shared" si="155"/>
        <v>-50.688713336689226</v>
      </c>
      <c r="Y173" s="36">
        <f t="shared" si="155"/>
        <v>93.940438214151882</v>
      </c>
      <c r="Z173" s="36">
        <f t="shared" si="155"/>
        <v>101.48759589130982</v>
      </c>
      <c r="AA173" s="36">
        <f t="shared" si="155"/>
        <v>4.1969570581747551</v>
      </c>
      <c r="AB173" s="36">
        <f t="shared" si="155"/>
        <v>-143.3686326092639</v>
      </c>
      <c r="AC173" s="36">
        <f t="shared" si="155"/>
        <v>80.198948094813389</v>
      </c>
      <c r="AD173" s="37">
        <f t="shared" si="155"/>
        <v>3.0831403085111786</v>
      </c>
      <c r="AE173" s="37">
        <f t="shared" si="155"/>
        <v>-69.68723406289736</v>
      </c>
      <c r="AF173" s="37">
        <f t="shared" si="155"/>
        <v>18.238596933946983</v>
      </c>
      <c r="AG173" s="37">
        <f t="shared" si="155"/>
        <v>37.597374879949186</v>
      </c>
      <c r="AH173" s="37">
        <f t="shared" si="155"/>
        <v>-16.338678092948477</v>
      </c>
      <c r="AI173" s="37">
        <f t="shared" si="155"/>
        <v>43.121668597914173</v>
      </c>
      <c r="AJ173" s="73">
        <f t="shared" si="155"/>
        <v>-130.05489256278651</v>
      </c>
      <c r="AK173" s="288">
        <f t="shared" si="155"/>
        <v>-440.5527719411661</v>
      </c>
      <c r="AL173" s="77"/>
      <c r="BB173" s="77"/>
      <c r="BC173" s="278"/>
      <c r="BD173" s="77"/>
      <c r="BE173" s="77"/>
      <c r="BF173" s="77"/>
    </row>
    <row r="174" spans="1:58" ht="11.7" hidden="1" customHeight="1">
      <c r="A174" s="305" t="s">
        <v>26</v>
      </c>
      <c r="B174" s="252">
        <f t="shared" ref="B174:U174" si="176">+B165+B171+B173</f>
        <v>-6713.8949339906239</v>
      </c>
      <c r="C174" s="252">
        <f t="shared" si="176"/>
        <v>-7164.3212653615865</v>
      </c>
      <c r="D174" s="252">
        <f t="shared" si="176"/>
        <v>-7338.2979214171137</v>
      </c>
      <c r="E174" s="252">
        <f t="shared" si="176"/>
        <v>-11470.115547993077</v>
      </c>
      <c r="F174" s="252">
        <f t="shared" si="176"/>
        <v>-14585.465755171503</v>
      </c>
      <c r="G174" s="252">
        <f t="shared" si="176"/>
        <v>-6384.4703522824648</v>
      </c>
      <c r="H174" s="252">
        <f t="shared" si="176"/>
        <v>9771.1200000000008</v>
      </c>
      <c r="I174" s="252">
        <f t="shared" si="176"/>
        <v>7512.9799999999987</v>
      </c>
      <c r="J174" s="252">
        <f t="shared" si="176"/>
        <v>6208.2300000000014</v>
      </c>
      <c r="K174" s="252">
        <f t="shared" si="176"/>
        <v>2523.3599999999997</v>
      </c>
      <c r="L174" s="252">
        <f t="shared" si="176"/>
        <v>3085.8300000000017</v>
      </c>
      <c r="M174" s="252">
        <f t="shared" si="176"/>
        <v>4470.5299999999988</v>
      </c>
      <c r="N174" s="252">
        <f t="shared" si="176"/>
        <v>1445.7899999999981</v>
      </c>
      <c r="O174" s="252">
        <f t="shared" si="176"/>
        <v>-7149.6580000000022</v>
      </c>
      <c r="P174" s="252">
        <f t="shared" si="176"/>
        <v>-53.349999999998545</v>
      </c>
      <c r="Q174" s="252">
        <f t="shared" si="176"/>
        <v>10253.880000000001</v>
      </c>
      <c r="R174" s="252">
        <f t="shared" si="176"/>
        <v>-533.37999999999738</v>
      </c>
      <c r="S174" s="252">
        <f t="shared" si="176"/>
        <v>17527.806224000004</v>
      </c>
      <c r="T174" s="252">
        <f t="shared" si="176"/>
        <v>10674.321806999997</v>
      </c>
      <c r="U174" s="252">
        <f t="shared" si="176"/>
        <v>-38786.838164999994</v>
      </c>
      <c r="V174" s="252" t="s">
        <v>9</v>
      </c>
      <c r="W174" s="39"/>
      <c r="X174" s="40">
        <f t="shared" si="155"/>
        <v>6.7088677406996089</v>
      </c>
      <c r="Y174" s="40">
        <f t="shared" ref="Y174:AK180" si="177">((D174/C174)-1)*100</f>
        <v>2.4283759704729846</v>
      </c>
      <c r="Z174" s="40">
        <f t="shared" si="177"/>
        <v>56.304849855129071</v>
      </c>
      <c r="AA174" s="40">
        <f t="shared" si="177"/>
        <v>27.16058259520775</v>
      </c>
      <c r="AB174" s="40">
        <f t="shared" si="177"/>
        <v>-56.227175330216994</v>
      </c>
      <c r="AC174" s="40">
        <f t="shared" si="177"/>
        <v>-253.04511511290517</v>
      </c>
      <c r="AD174" s="253">
        <f t="shared" si="177"/>
        <v>-23.110349683557274</v>
      </c>
      <c r="AE174" s="253">
        <f t="shared" si="177"/>
        <v>-17.366610852151844</v>
      </c>
      <c r="AF174" s="253">
        <f t="shared" si="177"/>
        <v>-59.354598653722569</v>
      </c>
      <c r="AG174" s="253">
        <f t="shared" si="177"/>
        <v>22.290517405364362</v>
      </c>
      <c r="AH174" s="253">
        <f t="shared" si="177"/>
        <v>44.872854305000473</v>
      </c>
      <c r="AI174" s="253">
        <f t="shared" si="177"/>
        <v>-67.659539249261314</v>
      </c>
      <c r="AJ174" s="253">
        <f t="shared" si="177"/>
        <v>-594.51566271726961</v>
      </c>
      <c r="AK174" s="317">
        <f t="shared" si="177"/>
        <v>-99.253810461982965</v>
      </c>
      <c r="AL174" s="318"/>
      <c r="BB174" s="265"/>
      <c r="BC174" s="313"/>
      <c r="BD174" s="265"/>
      <c r="BE174" s="265"/>
      <c r="BF174" s="265"/>
    </row>
    <row r="175" spans="1:58" ht="11.7" customHeight="1">
      <c r="A175" s="82" t="s">
        <v>27</v>
      </c>
      <c r="B175" s="34">
        <f t="shared" ref="B175:P175" si="178">+B115-B145</f>
        <v>-860.22110062601359</v>
      </c>
      <c r="C175" s="34">
        <f t="shared" si="178"/>
        <v>-1056.6543943015117</v>
      </c>
      <c r="D175" s="34">
        <f t="shared" si="178"/>
        <v>-695.26747046694436</v>
      </c>
      <c r="E175" s="34">
        <f t="shared" si="178"/>
        <v>-1291.076075134335</v>
      </c>
      <c r="F175" s="34">
        <f t="shared" si="178"/>
        <v>-923.40335748195957</v>
      </c>
      <c r="G175" s="34">
        <f t="shared" si="178"/>
        <v>888.0001661870615</v>
      </c>
      <c r="H175" s="34">
        <f t="shared" si="178"/>
        <v>1159.6500000000001</v>
      </c>
      <c r="I175" s="34">
        <f t="shared" si="178"/>
        <v>567.5600000000004</v>
      </c>
      <c r="J175" s="34">
        <f t="shared" si="178"/>
        <v>514.98999999999978</v>
      </c>
      <c r="K175" s="34">
        <f t="shared" si="178"/>
        <v>370.48999999999978</v>
      </c>
      <c r="L175" s="34">
        <f t="shared" si="178"/>
        <v>358.02000000000044</v>
      </c>
      <c r="M175" s="34">
        <f t="shared" si="178"/>
        <v>614.86999999999989</v>
      </c>
      <c r="N175" s="34">
        <f t="shared" si="178"/>
        <v>61.229999999999563</v>
      </c>
      <c r="O175" s="34">
        <f t="shared" si="178"/>
        <v>47.239999999999782</v>
      </c>
      <c r="P175" s="34">
        <f t="shared" si="178"/>
        <v>919.44000000000051</v>
      </c>
      <c r="Q175" s="34">
        <f>+Q115-Q145</f>
        <v>2111.0399999999991</v>
      </c>
      <c r="R175" s="34">
        <f>+R115-R145</f>
        <v>-1264.5100000000002</v>
      </c>
      <c r="S175" s="34">
        <f>+S115-S145</f>
        <v>998.30122200000005</v>
      </c>
      <c r="T175" s="34">
        <f>+T115-T145</f>
        <v>408.54000000000087</v>
      </c>
      <c r="U175" s="34">
        <f>+U115-U145</f>
        <v>-16871.54</v>
      </c>
      <c r="V175" s="34" t="s">
        <v>9</v>
      </c>
      <c r="W175" s="35"/>
      <c r="X175" s="36">
        <f t="shared" ref="X175:X180" si="179">((C175/B175)-1)*100</f>
        <v>22.835209870177174</v>
      </c>
      <c r="Y175" s="36">
        <f t="shared" si="177"/>
        <v>-34.201052471225246</v>
      </c>
      <c r="Z175" s="36">
        <f t="shared" si="177"/>
        <v>85.694877148105803</v>
      </c>
      <c r="AA175" s="36">
        <f t="shared" si="177"/>
        <v>-28.4780056523098</v>
      </c>
      <c r="AB175" s="36">
        <f t="shared" si="177"/>
        <v>-196.16601011810923</v>
      </c>
      <c r="AC175" s="36">
        <f t="shared" si="177"/>
        <v>30.591191776389181</v>
      </c>
      <c r="AD175" s="37">
        <f t="shared" si="177"/>
        <v>-51.057646703746798</v>
      </c>
      <c r="AE175" s="37">
        <f t="shared" si="177"/>
        <v>-9.26245683275787</v>
      </c>
      <c r="AF175" s="37">
        <f t="shared" si="177"/>
        <v>-28.058797258199199</v>
      </c>
      <c r="AG175" s="37">
        <f t="shared" si="177"/>
        <v>-3.3658128424517098</v>
      </c>
      <c r="AH175" s="37">
        <f t="shared" si="177"/>
        <v>71.741802133958757</v>
      </c>
      <c r="AI175" s="37">
        <f t="shared" si="177"/>
        <v>-90.041797453120239</v>
      </c>
      <c r="AJ175" s="73">
        <f t="shared" si="177"/>
        <v>-22.84827698840418</v>
      </c>
      <c r="AK175" s="289">
        <f t="shared" si="177"/>
        <v>1846.316680779011</v>
      </c>
      <c r="AL175" s="77"/>
      <c r="BB175" s="77"/>
      <c r="BC175" s="278"/>
      <c r="BD175" s="77"/>
      <c r="BE175" s="283"/>
      <c r="BF175" s="283"/>
    </row>
    <row r="176" spans="1:58" ht="11.7" hidden="1" customHeight="1">
      <c r="A176" s="305" t="s">
        <v>28</v>
      </c>
      <c r="B176" s="252">
        <f t="shared" ref="B176:U176" si="180">+B165+B171+B173+B175</f>
        <v>-7574.116034616638</v>
      </c>
      <c r="C176" s="252">
        <f t="shared" si="180"/>
        <v>-8220.9756596630978</v>
      </c>
      <c r="D176" s="252">
        <f t="shared" si="180"/>
        <v>-8033.565391884058</v>
      </c>
      <c r="E176" s="252">
        <f t="shared" si="180"/>
        <v>-12761.191623127412</v>
      </c>
      <c r="F176" s="252">
        <f t="shared" si="180"/>
        <v>-15508.869112653461</v>
      </c>
      <c r="G176" s="252">
        <f t="shared" si="180"/>
        <v>-5496.4701860954028</v>
      </c>
      <c r="H176" s="252">
        <f t="shared" si="180"/>
        <v>10930.77</v>
      </c>
      <c r="I176" s="252">
        <f t="shared" si="180"/>
        <v>8080.5399999999991</v>
      </c>
      <c r="J176" s="252">
        <f t="shared" si="180"/>
        <v>6723.2200000000012</v>
      </c>
      <c r="K176" s="252">
        <f t="shared" si="180"/>
        <v>2893.8499999999995</v>
      </c>
      <c r="L176" s="252">
        <f t="shared" si="180"/>
        <v>3443.8500000000022</v>
      </c>
      <c r="M176" s="252">
        <f t="shared" si="180"/>
        <v>5085.3999999999987</v>
      </c>
      <c r="N176" s="252">
        <f t="shared" si="180"/>
        <v>1507.0199999999977</v>
      </c>
      <c r="O176" s="252">
        <f t="shared" si="180"/>
        <v>-7102.4180000000024</v>
      </c>
      <c r="P176" s="252">
        <f t="shared" si="180"/>
        <v>866.09000000000196</v>
      </c>
      <c r="Q176" s="252">
        <f t="shared" si="180"/>
        <v>12364.92</v>
      </c>
      <c r="R176" s="252">
        <f t="shared" si="180"/>
        <v>-1797.8899999999976</v>
      </c>
      <c r="S176" s="252">
        <f t="shared" si="180"/>
        <v>18526.107446000002</v>
      </c>
      <c r="T176" s="252">
        <f t="shared" si="180"/>
        <v>11082.861806999997</v>
      </c>
      <c r="U176" s="252">
        <f t="shared" si="180"/>
        <v>-55658.378164999995</v>
      </c>
      <c r="V176" s="252" t="s">
        <v>9</v>
      </c>
      <c r="W176" s="39"/>
      <c r="X176" s="40">
        <f t="shared" si="179"/>
        <v>8.5403976132668369</v>
      </c>
      <c r="Y176" s="40">
        <f t="shared" si="177"/>
        <v>-2.2796596844165795</v>
      </c>
      <c r="Z176" s="40">
        <f t="shared" si="177"/>
        <v>58.848419109396403</v>
      </c>
      <c r="AA176" s="40">
        <f t="shared" si="177"/>
        <v>21.531511873439534</v>
      </c>
      <c r="AB176" s="40">
        <f t="shared" si="177"/>
        <v>-64.559181290588668</v>
      </c>
      <c r="AC176" s="40">
        <f t="shared" si="177"/>
        <v>-298.86890367661636</v>
      </c>
      <c r="AD176" s="253">
        <f t="shared" si="177"/>
        <v>-26.075290212857837</v>
      </c>
      <c r="AE176" s="253">
        <f t="shared" si="177"/>
        <v>-16.797392253487985</v>
      </c>
      <c r="AF176" s="253">
        <f t="shared" si="177"/>
        <v>-56.957380540871803</v>
      </c>
      <c r="AG176" s="253">
        <f t="shared" si="177"/>
        <v>19.005822692952389</v>
      </c>
      <c r="AH176" s="253">
        <f t="shared" si="177"/>
        <v>47.66612947718383</v>
      </c>
      <c r="AI176" s="253">
        <f t="shared" si="177"/>
        <v>-70.36575293978845</v>
      </c>
      <c r="AJ176" s="253">
        <f t="shared" si="177"/>
        <v>-571.28890127536545</v>
      </c>
      <c r="AK176" s="317">
        <f t="shared" si="177"/>
        <v>-112.19429777295566</v>
      </c>
      <c r="AL176" s="314"/>
      <c r="BB176" s="265"/>
      <c r="BC176" s="313"/>
      <c r="BD176" s="265"/>
      <c r="BE176" s="265"/>
      <c r="BF176" s="265"/>
    </row>
    <row r="177" spans="1:58" ht="11.7" customHeight="1">
      <c r="A177" s="82" t="s">
        <v>29</v>
      </c>
      <c r="B177" s="34">
        <f t="shared" ref="B177:U177" si="181">+B117-B147</f>
        <v>-432.55895968303366</v>
      </c>
      <c r="C177" s="34">
        <f t="shared" si="181"/>
        <v>-610.29003651976655</v>
      </c>
      <c r="D177" s="34">
        <f t="shared" si="181"/>
        <v>-882.87304117366784</v>
      </c>
      <c r="E177" s="34">
        <f t="shared" si="181"/>
        <v>-1231.4529167656501</v>
      </c>
      <c r="F177" s="34">
        <f t="shared" si="181"/>
        <v>-797.38670678078597</v>
      </c>
      <c r="G177" s="34">
        <f t="shared" si="181"/>
        <v>649.96482510883834</v>
      </c>
      <c r="H177" s="34">
        <f t="shared" si="181"/>
        <v>1124.8400000000001</v>
      </c>
      <c r="I177" s="34">
        <f t="shared" si="181"/>
        <v>468.25</v>
      </c>
      <c r="J177" s="34">
        <f t="shared" si="181"/>
        <v>720.64000000000033</v>
      </c>
      <c r="K177" s="34">
        <f t="shared" si="181"/>
        <v>636.61000000000058</v>
      </c>
      <c r="L177" s="34">
        <f t="shared" si="181"/>
        <v>472.13999999999942</v>
      </c>
      <c r="M177" s="34">
        <f t="shared" si="181"/>
        <v>-79.389999999999418</v>
      </c>
      <c r="N177" s="34">
        <f t="shared" si="181"/>
        <v>958.85999999999876</v>
      </c>
      <c r="O177" s="34">
        <f t="shared" si="181"/>
        <v>-150.0059999999994</v>
      </c>
      <c r="P177" s="34">
        <f t="shared" si="181"/>
        <v>82</v>
      </c>
      <c r="Q177" s="34">
        <f t="shared" si="181"/>
        <v>1541.1499999999996</v>
      </c>
      <c r="R177" s="34">
        <f t="shared" si="181"/>
        <v>349.80999999999949</v>
      </c>
      <c r="S177" s="34">
        <f t="shared" si="181"/>
        <v>196.68518700000095</v>
      </c>
      <c r="T177" s="34">
        <f t="shared" si="181"/>
        <v>1296.7100000000009</v>
      </c>
      <c r="U177" s="34">
        <f t="shared" si="181"/>
        <v>-19553.54</v>
      </c>
      <c r="V177" s="34" t="s">
        <v>9</v>
      </c>
      <c r="W177" s="35"/>
      <c r="X177" s="36">
        <f t="shared" si="179"/>
        <v>41.088289320597802</v>
      </c>
      <c r="Y177" s="36">
        <f t="shared" si="177"/>
        <v>44.664501850354668</v>
      </c>
      <c r="Z177" s="36">
        <f t="shared" si="177"/>
        <v>39.482446437439009</v>
      </c>
      <c r="AA177" s="36">
        <f t="shared" si="177"/>
        <v>-35.248299311752618</v>
      </c>
      <c r="AB177" s="36">
        <f t="shared" si="177"/>
        <v>-181.51187116385222</v>
      </c>
      <c r="AC177" s="36">
        <f t="shared" si="177"/>
        <v>73.061672962324181</v>
      </c>
      <c r="AD177" s="37">
        <f t="shared" si="177"/>
        <v>-58.37185733082039</v>
      </c>
      <c r="AE177" s="37">
        <f t="shared" si="177"/>
        <v>53.900694073678658</v>
      </c>
      <c r="AF177" s="37">
        <f>((K177/J177)-1)*100</f>
        <v>-11.660468472468876</v>
      </c>
      <c r="AG177" s="37">
        <f t="shared" si="177"/>
        <v>-25.835283768712557</v>
      </c>
      <c r="AH177" s="37">
        <f t="shared" si="177"/>
        <v>-116.81492777565965</v>
      </c>
      <c r="AI177" s="42">
        <f t="shared" si="177"/>
        <v>-1307.7843557123138</v>
      </c>
      <c r="AJ177" s="37">
        <f t="shared" si="177"/>
        <v>-115.64420249045737</v>
      </c>
      <c r="AK177" s="288">
        <f t="shared" si="177"/>
        <v>-154.66448008746337</v>
      </c>
      <c r="AL177" s="77"/>
      <c r="BB177" s="77"/>
      <c r="BC177" s="277"/>
      <c r="BD177" s="77"/>
      <c r="BE177" s="77"/>
      <c r="BF177" s="77"/>
    </row>
    <row r="178" spans="1:58" ht="11.7" customHeight="1">
      <c r="A178" s="84" t="s">
        <v>30</v>
      </c>
      <c r="B178" s="38">
        <f t="shared" ref="B178:T178" si="182">+B173+B175+B177</f>
        <v>-1939.3677266436816</v>
      </c>
      <c r="C178" s="38">
        <f t="shared" si="182"/>
        <v>-1985.7851284971612</v>
      </c>
      <c r="D178" s="38">
        <f t="shared" si="182"/>
        <v>-2196.5015579182786</v>
      </c>
      <c r="E178" s="38">
        <f t="shared" si="182"/>
        <v>-3768.449797973205</v>
      </c>
      <c r="F178" s="38">
        <f t="shared" si="182"/>
        <v>-3019.0016315457233</v>
      </c>
      <c r="G178" s="38">
        <f t="shared" si="182"/>
        <v>2100.9815964018212</v>
      </c>
      <c r="H178" s="38">
        <f t="shared" si="182"/>
        <v>3299.04</v>
      </c>
      <c r="I178" s="38">
        <f t="shared" si="182"/>
        <v>2081.6400000000003</v>
      </c>
      <c r="J178" s="38">
        <f t="shared" si="182"/>
        <v>1552.6500000000005</v>
      </c>
      <c r="K178" s="38">
        <f t="shared" si="182"/>
        <v>1381.9399999999996</v>
      </c>
      <c r="L178" s="38">
        <f t="shared" si="182"/>
        <v>1345.9300000000003</v>
      </c>
      <c r="M178" s="38">
        <f t="shared" si="182"/>
        <v>966.98000000000047</v>
      </c>
      <c r="N178" s="38">
        <f t="shared" si="182"/>
        <v>1637.659999999998</v>
      </c>
      <c r="O178" s="38">
        <f t="shared" si="182"/>
        <v>-288.3760000000002</v>
      </c>
      <c r="P178" s="38">
        <f t="shared" si="182"/>
        <v>1633.5400000000009</v>
      </c>
      <c r="Q178" s="38">
        <f t="shared" si="182"/>
        <v>5465.9399999999987</v>
      </c>
      <c r="R178" s="38">
        <f t="shared" si="182"/>
        <v>-1473.1800000000003</v>
      </c>
      <c r="S178" s="38">
        <f t="shared" si="182"/>
        <v>2956.6359040000025</v>
      </c>
      <c r="T178" s="38">
        <f t="shared" si="182"/>
        <v>3858.380000000001</v>
      </c>
      <c r="U178" s="38">
        <f>+U173+U175+U177</f>
        <v>-54510.36</v>
      </c>
      <c r="V178" s="38" t="s">
        <v>34</v>
      </c>
      <c r="W178" s="39"/>
      <c r="X178" s="40">
        <f t="shared" si="179"/>
        <v>2.3934296325437199</v>
      </c>
      <c r="Y178" s="40">
        <f t="shared" si="177"/>
        <v>10.611240178870073</v>
      </c>
      <c r="Z178" s="40">
        <f t="shared" si="177"/>
        <v>71.565997045990315</v>
      </c>
      <c r="AA178" s="40">
        <f t="shared" si="177"/>
        <v>-19.887439308082577</v>
      </c>
      <c r="AB178" s="40">
        <f t="shared" si="177"/>
        <v>-169.59193312280928</v>
      </c>
      <c r="AC178" s="40">
        <f t="shared" si="177"/>
        <v>57.023745741038148</v>
      </c>
      <c r="AD178" s="253">
        <f t="shared" si="177"/>
        <v>-36.901644114651525</v>
      </c>
      <c r="AE178" s="253">
        <f t="shared" si="177"/>
        <v>-25.412175015852867</v>
      </c>
      <c r="AF178" s="253">
        <f>((K178/J178)-1)*100</f>
        <v>-10.994750909735028</v>
      </c>
      <c r="AG178" s="253">
        <f t="shared" si="177"/>
        <v>-2.6057571240429622</v>
      </c>
      <c r="AH178" s="253">
        <f t="shared" si="177"/>
        <v>-28.155253244968147</v>
      </c>
      <c r="AI178" s="253">
        <f t="shared" si="177"/>
        <v>69.358208029121315</v>
      </c>
      <c r="AJ178" s="253">
        <f t="shared" si="177"/>
        <v>-117.60902751486881</v>
      </c>
      <c r="AK178" s="323">
        <f t="shared" si="177"/>
        <v>-666.46184148472821</v>
      </c>
      <c r="AL178" s="265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BB178" s="265"/>
      <c r="BC178" s="312"/>
      <c r="BD178" s="265"/>
      <c r="BE178" s="265"/>
      <c r="BF178" s="265"/>
    </row>
    <row r="179" spans="1:58" ht="11.7" customHeight="1">
      <c r="A179" s="84" t="s">
        <v>31</v>
      </c>
      <c r="B179" s="38">
        <f t="shared" ref="B179:T179" si="183">+B178+B171</f>
        <v>-4085.8335054406011</v>
      </c>
      <c r="C179" s="38">
        <f t="shared" si="183"/>
        <v>-3340.9580481548564</v>
      </c>
      <c r="D179" s="38">
        <f t="shared" si="183"/>
        <v>-4231.7892251711346</v>
      </c>
      <c r="E179" s="38">
        <f t="shared" si="183"/>
        <v>-7130.8609601616254</v>
      </c>
      <c r="F179" s="38">
        <f t="shared" si="183"/>
        <v>-7025.5685718130117</v>
      </c>
      <c r="G179" s="38">
        <f t="shared" si="183"/>
        <v>1700.8490348904502</v>
      </c>
      <c r="H179" s="38">
        <f t="shared" si="183"/>
        <v>6575.3899999999994</v>
      </c>
      <c r="I179" s="38">
        <f t="shared" si="183"/>
        <v>4719.4399999999996</v>
      </c>
      <c r="J179" s="38">
        <f t="shared" si="183"/>
        <v>3579.3900000000012</v>
      </c>
      <c r="K179" s="38">
        <f t="shared" si="183"/>
        <v>2348.8499999999985</v>
      </c>
      <c r="L179" s="38">
        <f t="shared" si="183"/>
        <v>2210.6600000000008</v>
      </c>
      <c r="M179" s="68">
        <f t="shared" si="183"/>
        <v>1939.9300000000003</v>
      </c>
      <c r="N179" s="68">
        <f t="shared" si="183"/>
        <v>2007.1099999999969</v>
      </c>
      <c r="O179" s="68">
        <f t="shared" si="183"/>
        <v>461.02199999999903</v>
      </c>
      <c r="P179" s="68">
        <f t="shared" si="183"/>
        <v>3189.7000000000025</v>
      </c>
      <c r="Q179" s="68">
        <f t="shared" si="183"/>
        <v>9030.2699999999986</v>
      </c>
      <c r="R179" s="68">
        <f t="shared" si="183"/>
        <v>-2021.3700000000008</v>
      </c>
      <c r="S179" s="68">
        <f t="shared" si="183"/>
        <v>7791.1308460000037</v>
      </c>
      <c r="T179" s="68">
        <f t="shared" si="183"/>
        <v>6627.409999999998</v>
      </c>
      <c r="U179" s="68">
        <f>+U178+U171</f>
        <v>-75591.816785000003</v>
      </c>
      <c r="V179" s="68" t="s">
        <v>9</v>
      </c>
      <c r="W179" s="39"/>
      <c r="X179" s="40">
        <f t="shared" si="179"/>
        <v>-18.230685520931921</v>
      </c>
      <c r="Y179" s="40">
        <f t="shared" si="177"/>
        <v>26.663943820194525</v>
      </c>
      <c r="Z179" s="40">
        <f t="shared" si="177"/>
        <v>68.506997412501121</v>
      </c>
      <c r="AA179" s="40">
        <f t="shared" si="177"/>
        <v>-1.4765732908951223</v>
      </c>
      <c r="AB179" s="40">
        <f t="shared" si="177"/>
        <v>-124.20941476130993</v>
      </c>
      <c r="AC179" s="40">
        <f>((H179/G179)-1)*100</f>
        <v>286.59456924838207</v>
      </c>
      <c r="AD179" s="253">
        <f t="shared" si="177"/>
        <v>-28.225702201694503</v>
      </c>
      <c r="AE179" s="253">
        <f t="shared" si="177"/>
        <v>-24.156467716508701</v>
      </c>
      <c r="AF179" s="253">
        <f>((K179/J179)-1)*100</f>
        <v>-34.378483484616162</v>
      </c>
      <c r="AG179" s="253">
        <f t="shared" si="177"/>
        <v>-5.883304595865968</v>
      </c>
      <c r="AH179" s="253">
        <f t="shared" si="177"/>
        <v>-12.246568897976184</v>
      </c>
      <c r="AI179" s="253">
        <f t="shared" si="177"/>
        <v>3.4630115519630467</v>
      </c>
      <c r="AJ179" s="253">
        <f t="shared" si="177"/>
        <v>-77.030556372097209</v>
      </c>
      <c r="AK179" s="317">
        <f t="shared" si="177"/>
        <v>591.87587577165721</v>
      </c>
      <c r="AL179" s="265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BB179" s="265"/>
      <c r="BC179" s="312"/>
      <c r="BD179" s="265"/>
      <c r="BE179" s="265"/>
      <c r="BF179" s="265"/>
    </row>
    <row r="180" spans="1:58" ht="11.7" customHeight="1">
      <c r="A180" s="85" t="s">
        <v>32</v>
      </c>
      <c r="B180" s="64">
        <f t="shared" ref="B180:U180" si="184">+B165+B171+B178</f>
        <v>-8006.6749942996712</v>
      </c>
      <c r="C180" s="64">
        <f t="shared" si="184"/>
        <v>-8831.2656961828652</v>
      </c>
      <c r="D180" s="64">
        <f t="shared" si="184"/>
        <v>-8916.438433057725</v>
      </c>
      <c r="E180" s="64">
        <f t="shared" si="184"/>
        <v>-13992.644539893063</v>
      </c>
      <c r="F180" s="64">
        <f t="shared" si="184"/>
        <v>-16306.255819434249</v>
      </c>
      <c r="G180" s="64">
        <f t="shared" si="184"/>
        <v>-4846.5053609865645</v>
      </c>
      <c r="H180" s="64">
        <f t="shared" si="184"/>
        <v>12055.61</v>
      </c>
      <c r="I180" s="64">
        <f t="shared" si="184"/>
        <v>8548.7899999999991</v>
      </c>
      <c r="J180" s="64">
        <f t="shared" si="184"/>
        <v>7443.8600000000015</v>
      </c>
      <c r="K180" s="64">
        <f t="shared" si="184"/>
        <v>3530.46</v>
      </c>
      <c r="L180" s="64">
        <f t="shared" si="184"/>
        <v>3915.9900000000016</v>
      </c>
      <c r="M180" s="64">
        <f t="shared" si="184"/>
        <v>5006.0099999999993</v>
      </c>
      <c r="N180" s="64">
        <f t="shared" si="184"/>
        <v>2465.8799999999965</v>
      </c>
      <c r="O180" s="64">
        <f t="shared" si="184"/>
        <v>-7252.4240000000018</v>
      </c>
      <c r="P180" s="64">
        <f t="shared" si="184"/>
        <v>948.09000000000196</v>
      </c>
      <c r="Q180" s="64">
        <f t="shared" si="184"/>
        <v>13906.07</v>
      </c>
      <c r="R180" s="64">
        <f t="shared" si="184"/>
        <v>-1448.0799999999981</v>
      </c>
      <c r="S180" s="64">
        <f t="shared" si="184"/>
        <v>18722.792633000005</v>
      </c>
      <c r="T180" s="64">
        <f t="shared" si="184"/>
        <v>12379.571806999998</v>
      </c>
      <c r="U180" s="64">
        <f t="shared" si="184"/>
        <v>-75211.918164999995</v>
      </c>
      <c r="V180" s="64" t="s">
        <v>9</v>
      </c>
      <c r="W180" s="39"/>
      <c r="X180" s="65">
        <f t="shared" si="179"/>
        <v>10.29879072736508</v>
      </c>
      <c r="Y180" s="65">
        <f t="shared" si="177"/>
        <v>0.9644454125264712</v>
      </c>
      <c r="Z180" s="65">
        <f t="shared" si="177"/>
        <v>56.930871501509927</v>
      </c>
      <c r="AA180" s="65">
        <f t="shared" si="177"/>
        <v>16.534481905440224</v>
      </c>
      <c r="AB180" s="65">
        <f t="shared" si="177"/>
        <v>-70.278245265780967</v>
      </c>
      <c r="AC180" s="65">
        <f>((H180/G180)-1)*100</f>
        <v>-348.74851263026227</v>
      </c>
      <c r="AD180" s="254">
        <f t="shared" si="177"/>
        <v>-29.088698124773458</v>
      </c>
      <c r="AE180" s="254">
        <f t="shared" si="177"/>
        <v>-12.924987044950198</v>
      </c>
      <c r="AF180" s="254">
        <f>((K180/J180)-1)*100</f>
        <v>-52.572187010502624</v>
      </c>
      <c r="AG180" s="254">
        <f t="shared" si="177"/>
        <v>10.920106728301748</v>
      </c>
      <c r="AH180" s="254">
        <f t="shared" si="177"/>
        <v>27.835106831222678</v>
      </c>
      <c r="AI180" s="254">
        <f t="shared" si="177"/>
        <v>-50.741608586479117</v>
      </c>
      <c r="AJ180" s="254">
        <f t="shared" si="177"/>
        <v>-394.11098674712525</v>
      </c>
      <c r="AK180" s="324">
        <f t="shared" si="177"/>
        <v>-113.07273264773269</v>
      </c>
      <c r="AL180" s="314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7"/>
      <c r="AZ180" s="77"/>
      <c r="BB180" s="265"/>
      <c r="BC180" s="313"/>
      <c r="BD180" s="265"/>
      <c r="BE180" s="265"/>
      <c r="BF180" s="265"/>
    </row>
    <row r="181" spans="1:58" ht="19.95" customHeight="1">
      <c r="BF181" t="s">
        <v>9</v>
      </c>
    </row>
  </sheetData>
  <mergeCells count="12">
    <mergeCell ref="A91:V91"/>
    <mergeCell ref="AG91:BF91"/>
    <mergeCell ref="A121:V121"/>
    <mergeCell ref="AF121:BF121"/>
    <mergeCell ref="A151:V151"/>
    <mergeCell ref="AF151:BF151"/>
    <mergeCell ref="A1:V1"/>
    <mergeCell ref="AG1:BF1"/>
    <mergeCell ref="A31:V31"/>
    <mergeCell ref="AF31:BF31"/>
    <mergeCell ref="A61:V61"/>
    <mergeCell ref="AF61:BF61"/>
  </mergeCells>
  <printOptions horizontalCentered="1"/>
  <pageMargins left="0.47244094488188981" right="0.31496062992125984" top="0.51181102362204722" bottom="0" header="0" footer="0"/>
  <pageSetup paperSize="9" orientation="portrait" r:id="rId1"/>
  <headerFooter alignWithMargins="0">
    <oddFooter>&amp;L&amp;"DilleniaUPC,Regular"&amp;10ที่มา : สำนักสารสนเทศการค้าระหว่างประเทศ  โดยความร่วมมือของกรมศุลกากร&amp;R&amp;"DilleniaUPC,Regular"&amp;10
&amp;F สำนักยุทธศาสตร์การค้าระหว่างประเทศ กรมส่งเสริมการส่งออก &amp;D &amp;T</oddFooter>
  </headerFooter>
  <rowBreaks count="1" manualBreakCount="1">
    <brk id="9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R39"/>
  <sheetViews>
    <sheetView workbookViewId="0">
      <selection sqref="A1:BP1"/>
    </sheetView>
  </sheetViews>
  <sheetFormatPr defaultColWidth="11" defaultRowHeight="19.8"/>
  <cols>
    <col min="1" max="1" width="9.625" style="149" customWidth="1"/>
    <col min="2" max="14" width="9.625" style="149" hidden="1" customWidth="1"/>
    <col min="15" max="16" width="9.625" style="149" customWidth="1"/>
    <col min="17" max="17" width="9.625" style="149" hidden="1" customWidth="1"/>
    <col min="18" max="20" width="9.625" style="149" customWidth="1"/>
    <col min="21" max="22" width="9.625" style="149" hidden="1" customWidth="1"/>
    <col min="23" max="23" width="2.25" style="149" customWidth="1"/>
    <col min="24" max="39" width="9.625" style="149" hidden="1" customWidth="1"/>
    <col min="40" max="41" width="9.625" style="149" customWidth="1"/>
    <col min="42" max="42" width="9.625" style="149" hidden="1" customWidth="1"/>
    <col min="43" max="43" width="9.625" style="149" customWidth="1"/>
    <col min="44" max="46" width="9.625" style="149" hidden="1" customWidth="1"/>
    <col min="47" max="48" width="9.625" style="149" customWidth="1"/>
    <col min="49" max="49" width="2.25" style="149" customWidth="1"/>
    <col min="50" max="62" width="9.625" style="149" hidden="1" customWidth="1"/>
    <col min="63" max="64" width="9.625" style="149" customWidth="1"/>
    <col min="65" max="65" width="9.625" style="149" hidden="1" customWidth="1"/>
    <col min="66" max="68" width="9.625" style="149" customWidth="1"/>
    <col min="69" max="69" width="5.75" style="149" hidden="1" customWidth="1"/>
    <col min="70" max="70" width="10" style="149" hidden="1" customWidth="1"/>
    <col min="71" max="16384" width="11" style="149"/>
  </cols>
  <sheetData>
    <row r="1" spans="1:70" ht="26.4">
      <c r="A1" s="399" t="s">
        <v>193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  <c r="AB1" s="399"/>
      <c r="AC1" s="399"/>
      <c r="AD1" s="399"/>
      <c r="AE1" s="399"/>
      <c r="AF1" s="399"/>
      <c r="AG1" s="399"/>
      <c r="AH1" s="399"/>
      <c r="AI1" s="399"/>
      <c r="AJ1" s="399"/>
      <c r="AK1" s="399"/>
      <c r="AL1" s="399"/>
      <c r="AM1" s="399"/>
      <c r="AN1" s="399"/>
      <c r="AO1" s="399"/>
      <c r="AP1" s="399"/>
      <c r="AQ1" s="399"/>
      <c r="AR1" s="399"/>
      <c r="AS1" s="399"/>
      <c r="AT1" s="399"/>
      <c r="AU1" s="399"/>
      <c r="AV1" s="399"/>
      <c r="AW1" s="399"/>
      <c r="AX1" s="399"/>
      <c r="AY1" s="399"/>
      <c r="AZ1" s="399"/>
      <c r="BA1" s="399"/>
      <c r="BB1" s="399"/>
      <c r="BC1" s="399"/>
      <c r="BD1" s="399"/>
      <c r="BE1" s="399"/>
      <c r="BF1" s="399"/>
      <c r="BG1" s="399"/>
      <c r="BH1" s="399"/>
      <c r="BI1" s="399"/>
      <c r="BJ1" s="399"/>
      <c r="BK1" s="399"/>
      <c r="BL1" s="399"/>
      <c r="BM1" s="399"/>
      <c r="BN1" s="399"/>
      <c r="BO1" s="399"/>
      <c r="BP1" s="399"/>
      <c r="BQ1" s="302"/>
    </row>
    <row r="2" spans="1:70" ht="16.5" customHeight="1">
      <c r="A2" s="402" t="s">
        <v>142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151"/>
      <c r="V2" s="151"/>
      <c r="X2" s="152" t="s">
        <v>1</v>
      </c>
      <c r="Y2" s="153"/>
      <c r="Z2" s="154" t="s">
        <v>1</v>
      </c>
      <c r="AA2" s="155"/>
      <c r="AB2" s="150" t="s">
        <v>1</v>
      </c>
      <c r="AC2" s="150" t="s">
        <v>1</v>
      </c>
      <c r="AD2" s="150"/>
      <c r="AE2" s="150"/>
      <c r="AF2" s="150" t="s">
        <v>1</v>
      </c>
      <c r="AG2" s="150"/>
      <c r="AH2" s="150" t="s">
        <v>1</v>
      </c>
      <c r="AI2" s="150"/>
      <c r="AJ2" s="150"/>
      <c r="AK2" s="150"/>
      <c r="AL2" s="150"/>
      <c r="AM2" s="402" t="s">
        <v>194</v>
      </c>
      <c r="AN2" s="402"/>
      <c r="AO2" s="402"/>
      <c r="AP2" s="402"/>
      <c r="AQ2" s="402"/>
      <c r="AR2" s="402"/>
      <c r="AS2" s="402"/>
      <c r="AT2" s="402"/>
      <c r="AU2" s="402"/>
      <c r="AV2" s="402"/>
      <c r="AX2" s="153"/>
      <c r="AY2" s="152" t="s">
        <v>128</v>
      </c>
      <c r="AZ2" s="152" t="s">
        <v>128</v>
      </c>
      <c r="BA2" s="154" t="s">
        <v>128</v>
      </c>
      <c r="BB2" s="155" t="s">
        <v>128</v>
      </c>
      <c r="BC2" s="150" t="s">
        <v>128</v>
      </c>
      <c r="BD2" s="150" t="s">
        <v>128</v>
      </c>
      <c r="BE2" s="153"/>
      <c r="BF2" s="153"/>
      <c r="BG2" s="150" t="s">
        <v>128</v>
      </c>
      <c r="BH2" s="153"/>
      <c r="BI2" s="402" t="s">
        <v>128</v>
      </c>
      <c r="BJ2" s="402"/>
      <c r="BK2" s="402"/>
      <c r="BL2" s="402"/>
      <c r="BM2" s="402"/>
      <c r="BN2" s="402"/>
      <c r="BO2" s="402"/>
      <c r="BP2" s="402"/>
      <c r="BQ2" s="402"/>
      <c r="BR2" s="402"/>
    </row>
    <row r="3" spans="1:70" ht="18" customHeight="1">
      <c r="B3" s="156"/>
      <c r="C3" s="156"/>
      <c r="D3" s="156"/>
      <c r="E3" s="156"/>
      <c r="F3" s="156"/>
      <c r="G3" s="156"/>
      <c r="H3" s="157"/>
      <c r="I3" s="157"/>
      <c r="J3" s="157"/>
      <c r="K3" s="157"/>
      <c r="L3" s="157"/>
      <c r="M3" s="157"/>
      <c r="S3" s="401" t="s">
        <v>143</v>
      </c>
      <c r="T3" s="401"/>
      <c r="U3" s="404" t="s">
        <v>143</v>
      </c>
      <c r="V3" s="404"/>
      <c r="W3" s="157"/>
      <c r="X3" s="157"/>
      <c r="Y3" s="157"/>
      <c r="Z3" s="157"/>
      <c r="AB3" s="156"/>
      <c r="AC3" s="156"/>
      <c r="AD3" s="156"/>
      <c r="AE3" s="156"/>
      <c r="AF3" s="156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R3" s="244"/>
      <c r="AS3" s="244"/>
      <c r="AT3" s="244"/>
      <c r="AU3" s="400" t="s">
        <v>3</v>
      </c>
      <c r="AV3" s="400"/>
      <c r="AX3" s="157" t="s">
        <v>3</v>
      </c>
      <c r="AY3" s="156"/>
      <c r="AZ3" s="156"/>
      <c r="BA3" s="156"/>
      <c r="BB3" s="156"/>
      <c r="BC3" s="156"/>
      <c r="BD3" s="156"/>
      <c r="BE3" s="157"/>
      <c r="BF3" s="157"/>
      <c r="BG3" s="157"/>
      <c r="BH3" s="157"/>
      <c r="BI3" s="157"/>
      <c r="BJ3" s="157"/>
      <c r="BO3" s="405" t="s">
        <v>3</v>
      </c>
      <c r="BP3" s="405"/>
      <c r="BQ3" s="405"/>
    </row>
    <row r="4" spans="1:70" ht="17.55" customHeight="1">
      <c r="A4" s="158"/>
      <c r="B4" s="339">
        <v>2540</v>
      </c>
      <c r="C4" s="339">
        <v>2541</v>
      </c>
      <c r="D4" s="339">
        <v>2542</v>
      </c>
      <c r="E4" s="339">
        <v>2543</v>
      </c>
      <c r="F4" s="339">
        <v>2544</v>
      </c>
      <c r="G4" s="339">
        <v>2545</v>
      </c>
      <c r="H4" s="339">
        <v>2546</v>
      </c>
      <c r="I4" s="339">
        <v>2547</v>
      </c>
      <c r="J4" s="339">
        <v>2548</v>
      </c>
      <c r="K4" s="339">
        <v>2549</v>
      </c>
      <c r="L4" s="339" t="s">
        <v>144</v>
      </c>
      <c r="M4" s="339">
        <v>2550</v>
      </c>
      <c r="N4" s="339">
        <v>2551</v>
      </c>
      <c r="O4" s="339">
        <v>2552</v>
      </c>
      <c r="P4" s="339">
        <v>2553</v>
      </c>
      <c r="Q4" s="219" t="s">
        <v>145</v>
      </c>
      <c r="R4" s="339" t="s">
        <v>195</v>
      </c>
      <c r="S4" s="339" t="s">
        <v>145</v>
      </c>
      <c r="T4" s="339" t="s">
        <v>196</v>
      </c>
      <c r="U4" s="339" t="s">
        <v>197</v>
      </c>
      <c r="V4" s="339" t="s">
        <v>198</v>
      </c>
      <c r="W4" s="159"/>
      <c r="X4" s="339">
        <v>2541</v>
      </c>
      <c r="Y4" s="339">
        <v>2542</v>
      </c>
      <c r="Z4" s="339">
        <v>2543</v>
      </c>
      <c r="AA4" s="339">
        <v>2544</v>
      </c>
      <c r="AB4" s="339">
        <v>2545</v>
      </c>
      <c r="AC4" s="339">
        <v>2546</v>
      </c>
      <c r="AD4" s="339">
        <v>2547</v>
      </c>
      <c r="AE4" s="339">
        <v>2548</v>
      </c>
      <c r="AF4" s="339">
        <v>2549</v>
      </c>
      <c r="AG4" s="339" t="s">
        <v>144</v>
      </c>
      <c r="AH4" s="339">
        <v>2550</v>
      </c>
      <c r="AI4" s="219" t="s">
        <v>148</v>
      </c>
      <c r="AJ4" s="219" t="s">
        <v>199</v>
      </c>
      <c r="AK4" s="219" t="s">
        <v>200</v>
      </c>
      <c r="AL4" s="219" t="s">
        <v>201</v>
      </c>
      <c r="AM4" s="339">
        <v>2551</v>
      </c>
      <c r="AN4" s="339">
        <v>2552</v>
      </c>
      <c r="AO4" s="339">
        <v>2553</v>
      </c>
      <c r="AP4" s="219" t="s">
        <v>145</v>
      </c>
      <c r="AQ4" s="339" t="s">
        <v>195</v>
      </c>
      <c r="AR4" s="339" t="s">
        <v>145</v>
      </c>
      <c r="AS4" s="339">
        <v>2554</v>
      </c>
      <c r="AT4" s="339" t="s">
        <v>197</v>
      </c>
      <c r="AU4" s="339" t="s">
        <v>198</v>
      </c>
      <c r="AV4" s="339" t="s">
        <v>196</v>
      </c>
      <c r="AW4" s="159"/>
      <c r="AX4" s="339">
        <v>2540</v>
      </c>
      <c r="AY4" s="339">
        <v>2541</v>
      </c>
      <c r="AZ4" s="339">
        <v>2542</v>
      </c>
      <c r="BA4" s="339">
        <v>2543</v>
      </c>
      <c r="BB4" s="339">
        <v>2544</v>
      </c>
      <c r="BC4" s="339">
        <v>2545</v>
      </c>
      <c r="BD4" s="339">
        <v>2546</v>
      </c>
      <c r="BE4" s="339">
        <v>2547</v>
      </c>
      <c r="BF4" s="339">
        <v>2548</v>
      </c>
      <c r="BG4" s="339">
        <v>2549</v>
      </c>
      <c r="BH4" s="339" t="s">
        <v>152</v>
      </c>
      <c r="BI4" s="339">
        <v>2550</v>
      </c>
      <c r="BJ4" s="339">
        <v>2551</v>
      </c>
      <c r="BK4" s="339">
        <v>2552</v>
      </c>
      <c r="BL4" s="339">
        <v>2553</v>
      </c>
      <c r="BM4" s="339" t="s">
        <v>153</v>
      </c>
      <c r="BN4" s="339" t="s">
        <v>195</v>
      </c>
      <c r="BO4" s="339" t="s">
        <v>145</v>
      </c>
      <c r="BP4" s="339" t="s">
        <v>196</v>
      </c>
      <c r="BQ4" s="339" t="s">
        <v>202</v>
      </c>
      <c r="BR4" s="339" t="s">
        <v>203</v>
      </c>
    </row>
    <row r="5" spans="1:70" ht="17.55" customHeight="1">
      <c r="A5" s="160" t="s">
        <v>4</v>
      </c>
      <c r="B5" s="161">
        <v>4666.4399999999996</v>
      </c>
      <c r="C5" s="161">
        <v>4283.82</v>
      </c>
      <c r="D5" s="161">
        <v>4056.8</v>
      </c>
      <c r="E5" s="161">
        <v>5302.87</v>
      </c>
      <c r="F5" s="161" t="e">
        <f>+#REF!</f>
        <v>#REF!</v>
      </c>
      <c r="G5" s="161" t="e">
        <f>+#REF!</f>
        <v>#REF!</v>
      </c>
      <c r="H5" s="161" t="e">
        <f>+#REF!</f>
        <v>#REF!</v>
      </c>
      <c r="I5" s="161" t="e">
        <f>+#REF!</f>
        <v>#REF!</v>
      </c>
      <c r="J5" s="161" t="e">
        <f>+#REF!</f>
        <v>#REF!</v>
      </c>
      <c r="K5" s="161" t="e">
        <f>+#REF!</f>
        <v>#REF!</v>
      </c>
      <c r="L5" s="161" t="e">
        <f>($L$23*BH5)/100</f>
        <v>#REF!</v>
      </c>
      <c r="M5" s="161" t="e">
        <f>+#REF!</f>
        <v>#REF!</v>
      </c>
      <c r="N5" s="160" t="e">
        <f>+#REF!</f>
        <v>#REF!</v>
      </c>
      <c r="O5" s="160" t="e">
        <f>+#REF!</f>
        <v>#REF!</v>
      </c>
      <c r="P5" s="160" t="e">
        <f>+#REF!</f>
        <v>#REF!</v>
      </c>
      <c r="Q5" s="220" t="e">
        <f>(Q$23*BP5)/100</f>
        <v>#REF!</v>
      </c>
      <c r="R5" s="160" t="e">
        <f>(R$23*BM5)/100</f>
        <v>#REF!</v>
      </c>
      <c r="S5" s="160" t="e">
        <f t="shared" ref="S5:S10" si="0">+T5</f>
        <v>#REF!</v>
      </c>
      <c r="T5" s="160" t="e">
        <f>+#REF!</f>
        <v>#REF!</v>
      </c>
      <c r="U5" s="162" t="e">
        <f>(BQ5*$U$23)/100</f>
        <v>#REF!</v>
      </c>
      <c r="V5" s="162" t="e">
        <f>(BQ5*V$23)/100</f>
        <v>#REF!</v>
      </c>
      <c r="W5" s="159"/>
      <c r="X5" s="163">
        <f t="shared" ref="X5:AG20" si="1">((C5/B5)-1)*100</f>
        <v>-8.1993982564867451</v>
      </c>
      <c r="Y5" s="163">
        <f t="shared" si="1"/>
        <v>-5.2994757015934262</v>
      </c>
      <c r="Z5" s="163">
        <f t="shared" si="1"/>
        <v>30.715588641293621</v>
      </c>
      <c r="AA5" s="163" t="e">
        <f t="shared" si="1"/>
        <v>#REF!</v>
      </c>
      <c r="AB5" s="163" t="e">
        <f t="shared" si="1"/>
        <v>#REF!</v>
      </c>
      <c r="AC5" s="163" t="e">
        <f t="shared" si="1"/>
        <v>#REF!</v>
      </c>
      <c r="AD5" s="163" t="e">
        <f t="shared" si="1"/>
        <v>#REF!</v>
      </c>
      <c r="AE5" s="163" t="e">
        <f t="shared" si="1"/>
        <v>#REF!</v>
      </c>
      <c r="AF5" s="163" t="e">
        <f t="shared" si="1"/>
        <v>#REF!</v>
      </c>
      <c r="AG5" s="163" t="e">
        <f t="shared" si="1"/>
        <v>#REF!</v>
      </c>
      <c r="AH5" s="163" t="e">
        <f t="shared" ref="AH5:AH23" si="2">((M5/K5)-1)*100</f>
        <v>#REF!</v>
      </c>
      <c r="AI5" s="227">
        <f>+ประมาณ54US!AH5</f>
        <v>0</v>
      </c>
      <c r="AJ5" s="227">
        <f>+ประมาณ54US!AI5</f>
        <v>0</v>
      </c>
      <c r="AK5" s="227">
        <f>+ประมาณ54US!AJ5</f>
        <v>0</v>
      </c>
      <c r="AL5" s="227">
        <f>+ประมาณ54US!AK5</f>
        <v>0</v>
      </c>
      <c r="AM5" s="163" t="e">
        <f>((N5/M5)-1)*100</f>
        <v>#REF!</v>
      </c>
      <c r="AN5" s="163" t="e">
        <f>((O5/N5)-1)*100</f>
        <v>#REF!</v>
      </c>
      <c r="AO5" s="163" t="e">
        <f>((P5/O5)-1)*100</f>
        <v>#REF!</v>
      </c>
      <c r="AP5" s="223" t="e">
        <f>((Q5/P5)-1)*100</f>
        <v>#REF!</v>
      </c>
      <c r="AQ5" s="163" t="e">
        <f t="shared" ref="AQ5:AQ22" si="3">((R5/P5)-1)*100</f>
        <v>#REF!</v>
      </c>
      <c r="AR5" s="163" t="e">
        <f t="shared" ref="AR5:AR20" si="4">((S5/P5)-1)*100</f>
        <v>#REF!</v>
      </c>
      <c r="AS5" s="163" t="e">
        <f t="shared" ref="AS5:AS20" si="5">((T5/P5)-1)*100</f>
        <v>#REF!</v>
      </c>
      <c r="AT5" s="163" t="e">
        <f t="shared" ref="AT5:AT22" si="6">((U5/P5)-1)*100</f>
        <v>#REF!</v>
      </c>
      <c r="AU5" s="163" t="e">
        <f>((S5/P5)-1)*100</f>
        <v>#REF!</v>
      </c>
      <c r="AV5" s="163" t="e">
        <f t="shared" ref="AV5:AV23" si="7">((T5/P5)-1)*100</f>
        <v>#REF!</v>
      </c>
      <c r="AW5" s="163"/>
      <c r="AX5" s="163">
        <f t="shared" ref="AX5:BG20" si="8">+(B5/B$23)*100</f>
        <v>7.9994994355793301</v>
      </c>
      <c r="AY5" s="163">
        <f t="shared" si="8"/>
        <v>7.861652591013371</v>
      </c>
      <c r="AZ5" s="163">
        <f t="shared" si="8"/>
        <v>6.9390362696693408</v>
      </c>
      <c r="BA5" s="163">
        <f t="shared" si="8"/>
        <v>7.6164134789837563</v>
      </c>
      <c r="BB5" s="163" t="e">
        <f t="shared" si="8"/>
        <v>#REF!</v>
      </c>
      <c r="BC5" s="163" t="e">
        <f t="shared" si="8"/>
        <v>#REF!</v>
      </c>
      <c r="BD5" s="163" t="e">
        <f t="shared" si="8"/>
        <v>#REF!</v>
      </c>
      <c r="BE5" s="163" t="e">
        <f t="shared" si="8"/>
        <v>#REF!</v>
      </c>
      <c r="BF5" s="163" t="e">
        <f t="shared" si="8"/>
        <v>#REF!</v>
      </c>
      <c r="BG5" s="163" t="e">
        <f t="shared" si="8"/>
        <v>#REF!</v>
      </c>
      <c r="BH5" s="164" t="e">
        <f>AVERAGE(BE5:BG5)</f>
        <v>#REF!</v>
      </c>
      <c r="BI5" s="163" t="e">
        <f t="shared" ref="BI5:BL23" si="9">+(M5/M$23)*100</f>
        <v>#REF!</v>
      </c>
      <c r="BJ5" s="163" t="e">
        <f t="shared" si="9"/>
        <v>#REF!</v>
      </c>
      <c r="BK5" s="163" t="e">
        <f t="shared" si="9"/>
        <v>#REF!</v>
      </c>
      <c r="BL5" s="163" t="e">
        <f t="shared" si="9"/>
        <v>#REF!</v>
      </c>
      <c r="BM5" s="163" t="e">
        <f>AVERAGE(BL5,BJ5,BK5)</f>
        <v>#REF!</v>
      </c>
      <c r="BN5" s="163" t="e">
        <f t="shared" ref="BN5:BP20" si="10">+(R5/R$23)*100</f>
        <v>#REF!</v>
      </c>
      <c r="BO5" s="163" t="e">
        <f t="shared" si="10"/>
        <v>#REF!</v>
      </c>
      <c r="BP5" s="163" t="e">
        <f t="shared" si="10"/>
        <v>#REF!</v>
      </c>
      <c r="BQ5" s="165" t="e">
        <f>AVERAGE(BK5,BL5,BP5)</f>
        <v>#REF!</v>
      </c>
      <c r="BR5" s="166" t="e">
        <f>AVERAGE(BK5,BL5,BP5)</f>
        <v>#REF!</v>
      </c>
    </row>
    <row r="6" spans="1:70" ht="17.55" customHeight="1">
      <c r="A6" s="160" t="s">
        <v>5</v>
      </c>
      <c r="B6" s="161">
        <v>4353.1099999999997</v>
      </c>
      <c r="C6" s="161">
        <v>4488.3999999999996</v>
      </c>
      <c r="D6" s="161">
        <v>4238.6400000000003</v>
      </c>
      <c r="E6" s="161">
        <v>5406.06</v>
      </c>
      <c r="F6" s="161" t="e">
        <f>+#REF!</f>
        <v>#REF!</v>
      </c>
      <c r="G6" s="161" t="e">
        <f>+#REF!</f>
        <v>#REF!</v>
      </c>
      <c r="H6" s="161" t="e">
        <f>+#REF!</f>
        <v>#REF!</v>
      </c>
      <c r="I6" s="161" t="e">
        <f>+#REF!</f>
        <v>#REF!</v>
      </c>
      <c r="J6" s="161" t="e">
        <f>+#REF!</f>
        <v>#REF!</v>
      </c>
      <c r="K6" s="161" t="e">
        <f>+#REF!</f>
        <v>#REF!</v>
      </c>
      <c r="L6" s="161" t="e">
        <f>($L$23*BH6)/100</f>
        <v>#REF!</v>
      </c>
      <c r="M6" s="161" t="e">
        <f>+#REF!</f>
        <v>#REF!</v>
      </c>
      <c r="N6" s="160" t="e">
        <f>+#REF!</f>
        <v>#REF!</v>
      </c>
      <c r="O6" s="160" t="e">
        <f>+#REF!</f>
        <v>#REF!</v>
      </c>
      <c r="P6" s="160" t="e">
        <f>+#REF!</f>
        <v>#REF!</v>
      </c>
      <c r="Q6" s="220" t="e">
        <f>(Q$23*BP6)/100</f>
        <v>#REF!</v>
      </c>
      <c r="R6" s="160" t="e">
        <f>(R$23*BM6)/100</f>
        <v>#REF!</v>
      </c>
      <c r="S6" s="160" t="e">
        <f t="shared" si="0"/>
        <v>#REF!</v>
      </c>
      <c r="T6" s="160" t="e">
        <f>+#REF!</f>
        <v>#REF!</v>
      </c>
      <c r="U6" s="162" t="e">
        <f t="shared" ref="U6:U22" si="11">(BQ6*$U$23)/100</f>
        <v>#REF!</v>
      </c>
      <c r="V6" s="162" t="e">
        <f t="shared" ref="V6:V22" si="12">(BQ6*V$23)/100</f>
        <v>#REF!</v>
      </c>
      <c r="W6" s="159"/>
      <c r="X6" s="163">
        <f t="shared" si="1"/>
        <v>3.1078929776642505</v>
      </c>
      <c r="Y6" s="163">
        <f t="shared" si="1"/>
        <v>-5.564566437928864</v>
      </c>
      <c r="Z6" s="163">
        <f t="shared" si="1"/>
        <v>27.542324896664972</v>
      </c>
      <c r="AA6" s="163" t="e">
        <f t="shared" si="1"/>
        <v>#REF!</v>
      </c>
      <c r="AB6" s="163" t="e">
        <f t="shared" si="1"/>
        <v>#REF!</v>
      </c>
      <c r="AC6" s="163" t="e">
        <f t="shared" si="1"/>
        <v>#REF!</v>
      </c>
      <c r="AD6" s="163" t="e">
        <f t="shared" si="1"/>
        <v>#REF!</v>
      </c>
      <c r="AE6" s="163" t="e">
        <f t="shared" si="1"/>
        <v>#REF!</v>
      </c>
      <c r="AF6" s="163" t="e">
        <f t="shared" si="1"/>
        <v>#REF!</v>
      </c>
      <c r="AG6" s="163" t="e">
        <f t="shared" si="1"/>
        <v>#REF!</v>
      </c>
      <c r="AH6" s="163" t="e">
        <f t="shared" si="2"/>
        <v>#REF!</v>
      </c>
      <c r="AI6" s="227">
        <f>+ประมาณ54US!AH6</f>
        <v>0</v>
      </c>
      <c r="AJ6" s="227">
        <f>+ประมาณ54US!AI6</f>
        <v>0</v>
      </c>
      <c r="AK6" s="227">
        <f>+ประมาณ54US!AJ6</f>
        <v>0</v>
      </c>
      <c r="AL6" s="227">
        <f>+ประมาณ54US!AK6</f>
        <v>0</v>
      </c>
      <c r="AM6" s="163" t="e">
        <f t="shared" ref="AM6:AP23" si="13">((N6/M6)-1)*100</f>
        <v>#REF!</v>
      </c>
      <c r="AN6" s="163" t="e">
        <f t="shared" si="13"/>
        <v>#REF!</v>
      </c>
      <c r="AO6" s="163" t="e">
        <f t="shared" si="13"/>
        <v>#REF!</v>
      </c>
      <c r="AP6" s="223" t="e">
        <f t="shared" si="13"/>
        <v>#REF!</v>
      </c>
      <c r="AQ6" s="163" t="e">
        <f t="shared" si="3"/>
        <v>#REF!</v>
      </c>
      <c r="AR6" s="163" t="e">
        <f t="shared" si="4"/>
        <v>#REF!</v>
      </c>
      <c r="AS6" s="163" t="e">
        <f t="shared" si="5"/>
        <v>#REF!</v>
      </c>
      <c r="AT6" s="163" t="e">
        <f t="shared" si="6"/>
        <v>#REF!</v>
      </c>
      <c r="AU6" s="163" t="e">
        <f t="shared" ref="AU6:AU23" si="14">((S6/P6)-1)*100</f>
        <v>#REF!</v>
      </c>
      <c r="AV6" s="163" t="e">
        <f t="shared" si="7"/>
        <v>#REF!</v>
      </c>
      <c r="AW6" s="163"/>
      <c r="AX6" s="163">
        <f t="shared" si="8"/>
        <v>7.4623698125369096</v>
      </c>
      <c r="AY6" s="163">
        <f t="shared" si="8"/>
        <v>8.2370971444888941</v>
      </c>
      <c r="AZ6" s="163">
        <f t="shared" si="8"/>
        <v>7.250068205006718</v>
      </c>
      <c r="BA6" s="163">
        <f t="shared" si="8"/>
        <v>7.7646233553141846</v>
      </c>
      <c r="BB6" s="163" t="e">
        <f t="shared" si="8"/>
        <v>#REF!</v>
      </c>
      <c r="BC6" s="163" t="e">
        <f t="shared" si="8"/>
        <v>#REF!</v>
      </c>
      <c r="BD6" s="163" t="e">
        <f t="shared" si="8"/>
        <v>#REF!</v>
      </c>
      <c r="BE6" s="163" t="e">
        <f t="shared" si="8"/>
        <v>#REF!</v>
      </c>
      <c r="BF6" s="163" t="e">
        <f t="shared" si="8"/>
        <v>#REF!</v>
      </c>
      <c r="BG6" s="163" t="e">
        <f t="shared" si="8"/>
        <v>#REF!</v>
      </c>
      <c r="BH6" s="164" t="e">
        <f t="shared" ref="BH6:BH22" si="15">AVERAGE(BE6:BG6)</f>
        <v>#REF!</v>
      </c>
      <c r="BI6" s="163" t="e">
        <f t="shared" si="9"/>
        <v>#REF!</v>
      </c>
      <c r="BJ6" s="163" t="e">
        <f t="shared" si="9"/>
        <v>#REF!</v>
      </c>
      <c r="BK6" s="163" t="e">
        <f t="shared" si="9"/>
        <v>#REF!</v>
      </c>
      <c r="BL6" s="163" t="e">
        <f t="shared" si="9"/>
        <v>#REF!</v>
      </c>
      <c r="BM6" s="163" t="e">
        <f t="shared" ref="BM6:BM23" si="16">AVERAGE(BL6,BJ6,BK6)</f>
        <v>#REF!</v>
      </c>
      <c r="BN6" s="163" t="e">
        <f t="shared" si="10"/>
        <v>#REF!</v>
      </c>
      <c r="BO6" s="163" t="e">
        <f t="shared" si="10"/>
        <v>#REF!</v>
      </c>
      <c r="BP6" s="163" t="e">
        <f t="shared" si="10"/>
        <v>#REF!</v>
      </c>
      <c r="BQ6" s="165" t="e">
        <f t="shared" ref="BQ6:BQ23" si="17">AVERAGE(BK6,BL6,BP6)</f>
        <v>#REF!</v>
      </c>
      <c r="BR6" s="166" t="e">
        <f t="shared" ref="BR6:BR23" si="18">AVERAGE(BK6,BL6,BP6)</f>
        <v>#REF!</v>
      </c>
    </row>
    <row r="7" spans="1:70" ht="17.55" customHeight="1">
      <c r="A7" s="160" t="s">
        <v>7</v>
      </c>
      <c r="B7" s="161">
        <v>5031.7</v>
      </c>
      <c r="C7" s="161">
        <v>4866.5200000000004</v>
      </c>
      <c r="D7" s="161">
        <v>4777.37</v>
      </c>
      <c r="E7" s="161">
        <v>5839.43</v>
      </c>
      <c r="F7" s="161" t="e">
        <f>+#REF!</f>
        <v>#REF!</v>
      </c>
      <c r="G7" s="161" t="e">
        <f>+#REF!</f>
        <v>#REF!</v>
      </c>
      <c r="H7" s="161" t="e">
        <f>+#REF!</f>
        <v>#REF!</v>
      </c>
      <c r="I7" s="161" t="e">
        <f>+#REF!</f>
        <v>#REF!</v>
      </c>
      <c r="J7" s="161" t="e">
        <f>+#REF!</f>
        <v>#REF!</v>
      </c>
      <c r="K7" s="161" t="e">
        <f>+#REF!</f>
        <v>#REF!</v>
      </c>
      <c r="L7" s="161" t="e">
        <f>($L$23*BH7)/100</f>
        <v>#REF!</v>
      </c>
      <c r="M7" s="161" t="e">
        <f>+#REF!</f>
        <v>#REF!</v>
      </c>
      <c r="N7" s="160" t="e">
        <f>+#REF!</f>
        <v>#REF!</v>
      </c>
      <c r="O7" s="160" t="e">
        <f>+#REF!</f>
        <v>#REF!</v>
      </c>
      <c r="P7" s="160" t="e">
        <f>+#REF!</f>
        <v>#REF!</v>
      </c>
      <c r="Q7" s="220" t="e">
        <f>(Q$23*BP7)/100</f>
        <v>#REF!</v>
      </c>
      <c r="R7" s="160" t="e">
        <f>(R$23*BM7)/100</f>
        <v>#REF!</v>
      </c>
      <c r="S7" s="160" t="e">
        <f t="shared" si="0"/>
        <v>#REF!</v>
      </c>
      <c r="T7" s="160" t="e">
        <f>+#REF!</f>
        <v>#REF!</v>
      </c>
      <c r="U7" s="162" t="e">
        <f t="shared" si="11"/>
        <v>#REF!</v>
      </c>
      <c r="V7" s="162" t="e">
        <f t="shared" si="12"/>
        <v>#REF!</v>
      </c>
      <c r="W7" s="159"/>
      <c r="X7" s="163">
        <f t="shared" si="1"/>
        <v>-3.2827871295983302</v>
      </c>
      <c r="Y7" s="163">
        <f t="shared" si="1"/>
        <v>-1.8319045231500186</v>
      </c>
      <c r="Z7" s="163">
        <f t="shared" si="1"/>
        <v>22.231060185834473</v>
      </c>
      <c r="AA7" s="163" t="e">
        <f t="shared" si="1"/>
        <v>#REF!</v>
      </c>
      <c r="AB7" s="163" t="e">
        <f t="shared" si="1"/>
        <v>#REF!</v>
      </c>
      <c r="AC7" s="163" t="e">
        <f t="shared" si="1"/>
        <v>#REF!</v>
      </c>
      <c r="AD7" s="163" t="e">
        <f t="shared" si="1"/>
        <v>#REF!</v>
      </c>
      <c r="AE7" s="163" t="e">
        <f t="shared" si="1"/>
        <v>#REF!</v>
      </c>
      <c r="AF7" s="163" t="e">
        <f t="shared" si="1"/>
        <v>#REF!</v>
      </c>
      <c r="AG7" s="163" t="e">
        <f t="shared" si="1"/>
        <v>#REF!</v>
      </c>
      <c r="AH7" s="163" t="e">
        <f t="shared" si="2"/>
        <v>#REF!</v>
      </c>
      <c r="AI7" s="227">
        <f>+ประมาณ54US!AH7</f>
        <v>0</v>
      </c>
      <c r="AJ7" s="227">
        <f>+ประมาณ54US!AI7</f>
        <v>0</v>
      </c>
      <c r="AK7" s="227">
        <f>+ประมาณ54US!AJ7</f>
        <v>0</v>
      </c>
      <c r="AL7" s="227">
        <f>+ประมาณ54US!AK7</f>
        <v>0</v>
      </c>
      <c r="AM7" s="163" t="e">
        <f t="shared" si="13"/>
        <v>#REF!</v>
      </c>
      <c r="AN7" s="163" t="e">
        <f t="shared" si="13"/>
        <v>#REF!</v>
      </c>
      <c r="AO7" s="163" t="e">
        <f t="shared" si="13"/>
        <v>#REF!</v>
      </c>
      <c r="AP7" s="223" t="e">
        <f t="shared" si="13"/>
        <v>#REF!</v>
      </c>
      <c r="AQ7" s="163" t="e">
        <f t="shared" si="3"/>
        <v>#REF!</v>
      </c>
      <c r="AR7" s="163" t="e">
        <f t="shared" si="4"/>
        <v>#REF!</v>
      </c>
      <c r="AS7" s="163" t="e">
        <f t="shared" si="5"/>
        <v>#REF!</v>
      </c>
      <c r="AT7" s="163" t="e">
        <f t="shared" si="6"/>
        <v>#REF!</v>
      </c>
      <c r="AU7" s="163" t="e">
        <f t="shared" si="14"/>
        <v>#REF!</v>
      </c>
      <c r="AV7" s="163" t="e">
        <f t="shared" si="7"/>
        <v>#REF!</v>
      </c>
      <c r="AW7" s="163"/>
      <c r="AX7" s="163">
        <f t="shared" si="8"/>
        <v>8.6256506694620558</v>
      </c>
      <c r="AY7" s="163">
        <f t="shared" si="8"/>
        <v>8.9310217439617912</v>
      </c>
      <c r="AZ7" s="163">
        <f t="shared" si="8"/>
        <v>8.171549917084949</v>
      </c>
      <c r="BA7" s="163">
        <f t="shared" si="8"/>
        <v>8.3870646200231427</v>
      </c>
      <c r="BB7" s="163" t="e">
        <f t="shared" si="8"/>
        <v>#REF!</v>
      </c>
      <c r="BC7" s="163" t="e">
        <f t="shared" si="8"/>
        <v>#REF!</v>
      </c>
      <c r="BD7" s="163" t="e">
        <f t="shared" si="8"/>
        <v>#REF!</v>
      </c>
      <c r="BE7" s="163" t="e">
        <f t="shared" si="8"/>
        <v>#REF!</v>
      </c>
      <c r="BF7" s="163" t="e">
        <f t="shared" si="8"/>
        <v>#REF!</v>
      </c>
      <c r="BG7" s="163" t="e">
        <f t="shared" si="8"/>
        <v>#REF!</v>
      </c>
      <c r="BH7" s="164" t="e">
        <f t="shared" si="15"/>
        <v>#REF!</v>
      </c>
      <c r="BI7" s="163" t="e">
        <f t="shared" si="9"/>
        <v>#REF!</v>
      </c>
      <c r="BJ7" s="163" t="e">
        <f t="shared" si="9"/>
        <v>#REF!</v>
      </c>
      <c r="BK7" s="163" t="e">
        <f t="shared" si="9"/>
        <v>#REF!</v>
      </c>
      <c r="BL7" s="163" t="e">
        <f t="shared" si="9"/>
        <v>#REF!</v>
      </c>
      <c r="BM7" s="163" t="e">
        <f t="shared" si="16"/>
        <v>#REF!</v>
      </c>
      <c r="BN7" s="163" t="e">
        <f t="shared" si="10"/>
        <v>#REF!</v>
      </c>
      <c r="BO7" s="163" t="e">
        <f t="shared" si="10"/>
        <v>#REF!</v>
      </c>
      <c r="BP7" s="163" t="e">
        <f t="shared" si="10"/>
        <v>#REF!</v>
      </c>
      <c r="BQ7" s="165" t="e">
        <f t="shared" si="17"/>
        <v>#REF!</v>
      </c>
      <c r="BR7" s="166" t="e">
        <f t="shared" si="18"/>
        <v>#REF!</v>
      </c>
    </row>
    <row r="8" spans="1:70" ht="17.55" customHeight="1">
      <c r="A8" s="167" t="s">
        <v>8</v>
      </c>
      <c r="B8" s="168">
        <v>14051.25</v>
      </c>
      <c r="C8" s="168">
        <v>13638.74</v>
      </c>
      <c r="D8" s="168">
        <v>13072.81</v>
      </c>
      <c r="E8" s="169">
        <f t="shared" ref="E8:O8" si="19">+E5+E6+E7</f>
        <v>16548.36</v>
      </c>
      <c r="F8" s="169" t="e">
        <f t="shared" si="19"/>
        <v>#REF!</v>
      </c>
      <c r="G8" s="169" t="e">
        <f t="shared" si="19"/>
        <v>#REF!</v>
      </c>
      <c r="H8" s="169" t="e">
        <f t="shared" si="19"/>
        <v>#REF!</v>
      </c>
      <c r="I8" s="169" t="e">
        <f t="shared" si="19"/>
        <v>#REF!</v>
      </c>
      <c r="J8" s="168" t="e">
        <f t="shared" si="19"/>
        <v>#REF!</v>
      </c>
      <c r="K8" s="168" t="e">
        <f t="shared" si="19"/>
        <v>#REF!</v>
      </c>
      <c r="L8" s="168" t="e">
        <f t="shared" si="19"/>
        <v>#REF!</v>
      </c>
      <c r="M8" s="168" t="e">
        <f t="shared" si="19"/>
        <v>#REF!</v>
      </c>
      <c r="N8" s="170" t="e">
        <f t="shared" si="19"/>
        <v>#REF!</v>
      </c>
      <c r="O8" s="170" t="e">
        <f t="shared" si="19"/>
        <v>#REF!</v>
      </c>
      <c r="P8" s="170" t="e">
        <f>+P5+P6+P7</f>
        <v>#REF!</v>
      </c>
      <c r="Q8" s="221" t="e">
        <f>+Q5+Q6+Q7</f>
        <v>#REF!</v>
      </c>
      <c r="R8" s="170" t="e">
        <f>+R5+R6+R7</f>
        <v>#REF!</v>
      </c>
      <c r="S8" s="340" t="e">
        <f>+T8</f>
        <v>#REF!</v>
      </c>
      <c r="T8" s="340" t="e">
        <f>+T5+T6+T7</f>
        <v>#REF!</v>
      </c>
      <c r="U8" s="171" t="e">
        <f t="shared" si="11"/>
        <v>#REF!</v>
      </c>
      <c r="V8" s="171" t="e">
        <f t="shared" si="12"/>
        <v>#REF!</v>
      </c>
      <c r="W8" s="172"/>
      <c r="X8" s="173">
        <f t="shared" si="1"/>
        <v>-2.9357530468819504</v>
      </c>
      <c r="Y8" s="173">
        <f t="shared" si="1"/>
        <v>-4.1494302259592946</v>
      </c>
      <c r="Z8" s="173">
        <f t="shared" si="1"/>
        <v>26.586097403695153</v>
      </c>
      <c r="AA8" s="173" t="e">
        <f t="shared" si="1"/>
        <v>#REF!</v>
      </c>
      <c r="AB8" s="173" t="e">
        <f t="shared" si="1"/>
        <v>#REF!</v>
      </c>
      <c r="AC8" s="173" t="e">
        <f t="shared" si="1"/>
        <v>#REF!</v>
      </c>
      <c r="AD8" s="173" t="e">
        <f t="shared" si="1"/>
        <v>#REF!</v>
      </c>
      <c r="AE8" s="173" t="e">
        <f t="shared" si="1"/>
        <v>#REF!</v>
      </c>
      <c r="AF8" s="173" t="e">
        <f t="shared" si="1"/>
        <v>#REF!</v>
      </c>
      <c r="AG8" s="173" t="e">
        <f t="shared" si="1"/>
        <v>#REF!</v>
      </c>
      <c r="AH8" s="341" t="e">
        <f t="shared" si="2"/>
        <v>#REF!</v>
      </c>
      <c r="AI8" s="228">
        <f>+ประมาณ54US!AH8</f>
        <v>0</v>
      </c>
      <c r="AJ8" s="228">
        <f>+ประมาณ54US!AI8</f>
        <v>0</v>
      </c>
      <c r="AK8" s="228">
        <f>+ประมาณ54US!AJ8</f>
        <v>0</v>
      </c>
      <c r="AL8" s="228">
        <f>+ประมาณ54US!AK8</f>
        <v>0</v>
      </c>
      <c r="AM8" s="341" t="e">
        <f t="shared" si="13"/>
        <v>#REF!</v>
      </c>
      <c r="AN8" s="341" t="e">
        <f t="shared" si="13"/>
        <v>#REF!</v>
      </c>
      <c r="AO8" s="341" t="e">
        <f t="shared" si="13"/>
        <v>#REF!</v>
      </c>
      <c r="AP8" s="224" t="e">
        <f t="shared" si="13"/>
        <v>#REF!</v>
      </c>
      <c r="AQ8" s="341" t="e">
        <f t="shared" si="3"/>
        <v>#REF!</v>
      </c>
      <c r="AR8" s="341" t="e">
        <f t="shared" si="4"/>
        <v>#REF!</v>
      </c>
      <c r="AS8" s="341" t="e">
        <f t="shared" si="5"/>
        <v>#REF!</v>
      </c>
      <c r="AT8" s="341" t="e">
        <f t="shared" si="6"/>
        <v>#REF!</v>
      </c>
      <c r="AU8" s="173" t="e">
        <f t="shared" si="14"/>
        <v>#REF!</v>
      </c>
      <c r="AV8" s="173" t="e">
        <f t="shared" si="7"/>
        <v>#REF!</v>
      </c>
      <c r="AW8" s="173"/>
      <c r="AX8" s="173">
        <f t="shared" si="8"/>
        <v>24.087519917578295</v>
      </c>
      <c r="AY8" s="173">
        <f t="shared" si="8"/>
        <v>25.02977147946406</v>
      </c>
      <c r="AZ8" s="173">
        <f t="shared" si="8"/>
        <v>22.360654391761006</v>
      </c>
      <c r="BA8" s="173">
        <f t="shared" si="8"/>
        <v>23.768101454321087</v>
      </c>
      <c r="BB8" s="173" t="e">
        <f t="shared" si="8"/>
        <v>#REF!</v>
      </c>
      <c r="BC8" s="173" t="e">
        <f t="shared" si="8"/>
        <v>#REF!</v>
      </c>
      <c r="BD8" s="173" t="e">
        <f t="shared" si="8"/>
        <v>#REF!</v>
      </c>
      <c r="BE8" s="173" t="e">
        <f t="shared" si="8"/>
        <v>#REF!</v>
      </c>
      <c r="BF8" s="173" t="e">
        <f t="shared" si="8"/>
        <v>#REF!</v>
      </c>
      <c r="BG8" s="173" t="e">
        <f t="shared" si="8"/>
        <v>#REF!</v>
      </c>
      <c r="BH8" s="341" t="e">
        <f t="shared" si="15"/>
        <v>#REF!</v>
      </c>
      <c r="BI8" s="341" t="e">
        <f t="shared" si="9"/>
        <v>#REF!</v>
      </c>
      <c r="BJ8" s="341" t="e">
        <f t="shared" si="9"/>
        <v>#REF!</v>
      </c>
      <c r="BK8" s="341" t="e">
        <f t="shared" si="9"/>
        <v>#REF!</v>
      </c>
      <c r="BL8" s="341" t="e">
        <f t="shared" si="9"/>
        <v>#REF!</v>
      </c>
      <c r="BM8" s="341" t="e">
        <f t="shared" si="16"/>
        <v>#REF!</v>
      </c>
      <c r="BN8" s="341" t="e">
        <f t="shared" si="10"/>
        <v>#REF!</v>
      </c>
      <c r="BO8" s="341" t="e">
        <f t="shared" si="10"/>
        <v>#REF!</v>
      </c>
      <c r="BP8" s="341" t="e">
        <f>+(T8/T$23)*100</f>
        <v>#REF!</v>
      </c>
      <c r="BQ8" s="165" t="e">
        <f t="shared" si="17"/>
        <v>#REF!</v>
      </c>
      <c r="BR8" s="342" t="e">
        <f t="shared" si="18"/>
        <v>#REF!</v>
      </c>
    </row>
    <row r="9" spans="1:70" ht="17.55" customHeight="1">
      <c r="A9" s="160" t="s">
        <v>10</v>
      </c>
      <c r="B9" s="161">
        <v>4367.45</v>
      </c>
      <c r="C9" s="161">
        <v>4336.22</v>
      </c>
      <c r="D9" s="161">
        <v>4538.9799999999996</v>
      </c>
      <c r="E9" s="161">
        <v>5248.8</v>
      </c>
      <c r="F9" s="161" t="e">
        <f>+#REF!</f>
        <v>#REF!</v>
      </c>
      <c r="G9" s="161" t="e">
        <f>+#REF!</f>
        <v>#REF!</v>
      </c>
      <c r="H9" s="161" t="e">
        <f>+#REF!</f>
        <v>#REF!</v>
      </c>
      <c r="I9" s="161" t="e">
        <f>+#REF!</f>
        <v>#REF!</v>
      </c>
      <c r="J9" s="161" t="e">
        <f>+#REF!</f>
        <v>#REF!</v>
      </c>
      <c r="K9" s="161" t="e">
        <f>+#REF!</f>
        <v>#REF!</v>
      </c>
      <c r="L9" s="161" t="e">
        <f>($L$23*BH9)/100</f>
        <v>#REF!</v>
      </c>
      <c r="M9" s="161" t="e">
        <f>+#REF!</f>
        <v>#REF!</v>
      </c>
      <c r="N9" s="160" t="e">
        <f>+#REF!</f>
        <v>#REF!</v>
      </c>
      <c r="O9" s="160" t="e">
        <f>+#REF!</f>
        <v>#REF!</v>
      </c>
      <c r="P9" s="160" t="e">
        <f>+#REF!</f>
        <v>#REF!</v>
      </c>
      <c r="Q9" s="220" t="e">
        <f>(Q$23*BP9)/100</f>
        <v>#REF!</v>
      </c>
      <c r="R9" s="160" t="e">
        <f>(R$23*BM9)/100</f>
        <v>#REF!</v>
      </c>
      <c r="S9" s="160" t="e">
        <f t="shared" si="0"/>
        <v>#REF!</v>
      </c>
      <c r="T9" s="160" t="e">
        <f>+#REF!</f>
        <v>#REF!</v>
      </c>
      <c r="U9" s="162" t="e">
        <f t="shared" si="11"/>
        <v>#REF!</v>
      </c>
      <c r="V9" s="162" t="e">
        <f t="shared" si="12"/>
        <v>#REF!</v>
      </c>
      <c r="W9" s="159"/>
      <c r="X9" s="163">
        <f t="shared" si="1"/>
        <v>-0.71506256511235655</v>
      </c>
      <c r="Y9" s="163">
        <f t="shared" si="1"/>
        <v>4.6759620129974699</v>
      </c>
      <c r="Z9" s="163">
        <f t="shared" si="1"/>
        <v>15.638315216193966</v>
      </c>
      <c r="AA9" s="163" t="e">
        <f t="shared" si="1"/>
        <v>#REF!</v>
      </c>
      <c r="AB9" s="163" t="e">
        <f t="shared" si="1"/>
        <v>#REF!</v>
      </c>
      <c r="AC9" s="163" t="e">
        <f t="shared" si="1"/>
        <v>#REF!</v>
      </c>
      <c r="AD9" s="163" t="e">
        <f t="shared" si="1"/>
        <v>#REF!</v>
      </c>
      <c r="AE9" s="163" t="e">
        <f t="shared" si="1"/>
        <v>#REF!</v>
      </c>
      <c r="AF9" s="163" t="e">
        <f t="shared" si="1"/>
        <v>#REF!</v>
      </c>
      <c r="AG9" s="163" t="e">
        <f t="shared" si="1"/>
        <v>#REF!</v>
      </c>
      <c r="AH9" s="163" t="e">
        <f t="shared" si="2"/>
        <v>#REF!</v>
      </c>
      <c r="AI9" s="227">
        <f>+ประมาณ54US!AH9</f>
        <v>0</v>
      </c>
      <c r="AJ9" s="227">
        <f>+ประมาณ54US!AI9</f>
        <v>0</v>
      </c>
      <c r="AK9" s="227">
        <f>+ประมาณ54US!AJ9</f>
        <v>0</v>
      </c>
      <c r="AL9" s="227">
        <f>+ประมาณ54US!AK9</f>
        <v>0</v>
      </c>
      <c r="AM9" s="163" t="e">
        <f t="shared" si="13"/>
        <v>#REF!</v>
      </c>
      <c r="AN9" s="163" t="e">
        <f t="shared" si="13"/>
        <v>#REF!</v>
      </c>
      <c r="AO9" s="163" t="e">
        <f t="shared" si="13"/>
        <v>#REF!</v>
      </c>
      <c r="AP9" s="223" t="e">
        <f t="shared" si="13"/>
        <v>#REF!</v>
      </c>
      <c r="AQ9" s="163" t="e">
        <f t="shared" si="3"/>
        <v>#REF!</v>
      </c>
      <c r="AR9" s="163" t="e">
        <f t="shared" si="4"/>
        <v>#REF!</v>
      </c>
      <c r="AS9" s="164" t="e">
        <f t="shared" si="5"/>
        <v>#REF!</v>
      </c>
      <c r="AT9" s="163" t="e">
        <f t="shared" si="6"/>
        <v>#REF!</v>
      </c>
      <c r="AU9" s="163" t="e">
        <f t="shared" si="14"/>
        <v>#REF!</v>
      </c>
      <c r="AV9" s="163" t="e">
        <f t="shared" si="7"/>
        <v>#REF!</v>
      </c>
      <c r="AW9" s="163"/>
      <c r="AX9" s="163">
        <f t="shared" si="8"/>
        <v>7.4869523255245847</v>
      </c>
      <c r="AY9" s="163">
        <f t="shared" si="8"/>
        <v>7.957816901317984</v>
      </c>
      <c r="AZ9" s="163">
        <f t="shared" si="8"/>
        <v>7.7637908813113148</v>
      </c>
      <c r="BA9" s="163">
        <f t="shared" si="8"/>
        <v>7.5387537443855779</v>
      </c>
      <c r="BB9" s="163" t="e">
        <f t="shared" si="8"/>
        <v>#REF!</v>
      </c>
      <c r="BC9" s="163" t="e">
        <f t="shared" si="8"/>
        <v>#REF!</v>
      </c>
      <c r="BD9" s="163" t="e">
        <f t="shared" si="8"/>
        <v>#REF!</v>
      </c>
      <c r="BE9" s="163" t="e">
        <f t="shared" si="8"/>
        <v>#REF!</v>
      </c>
      <c r="BF9" s="163" t="e">
        <f t="shared" si="8"/>
        <v>#REF!</v>
      </c>
      <c r="BG9" s="163" t="e">
        <f t="shared" si="8"/>
        <v>#REF!</v>
      </c>
      <c r="BH9" s="164" t="e">
        <f t="shared" si="15"/>
        <v>#REF!</v>
      </c>
      <c r="BI9" s="163" t="e">
        <f t="shared" si="9"/>
        <v>#REF!</v>
      </c>
      <c r="BJ9" s="163" t="e">
        <f t="shared" si="9"/>
        <v>#REF!</v>
      </c>
      <c r="BK9" s="163" t="e">
        <f t="shared" si="9"/>
        <v>#REF!</v>
      </c>
      <c r="BL9" s="163" t="e">
        <f t="shared" si="9"/>
        <v>#REF!</v>
      </c>
      <c r="BM9" s="163" t="e">
        <f t="shared" si="16"/>
        <v>#REF!</v>
      </c>
      <c r="BN9" s="163" t="e">
        <f t="shared" si="10"/>
        <v>#REF!</v>
      </c>
      <c r="BO9" s="163" t="e">
        <f t="shared" si="10"/>
        <v>#REF!</v>
      </c>
      <c r="BP9" s="163" t="e">
        <f t="shared" si="10"/>
        <v>#REF!</v>
      </c>
      <c r="BQ9" s="165" t="e">
        <f t="shared" si="17"/>
        <v>#REF!</v>
      </c>
      <c r="BR9" s="166" t="e">
        <f t="shared" si="18"/>
        <v>#REF!</v>
      </c>
    </row>
    <row r="10" spans="1:70" ht="17.55" customHeight="1">
      <c r="A10" s="160" t="s">
        <v>12</v>
      </c>
      <c r="B10" s="161">
        <v>4907.5</v>
      </c>
      <c r="C10" s="161">
        <v>4320.21</v>
      </c>
      <c r="D10" s="161">
        <v>4674.41</v>
      </c>
      <c r="E10" s="161">
        <v>5303.15</v>
      </c>
      <c r="F10" s="161" t="e">
        <f>+#REF!</f>
        <v>#REF!</v>
      </c>
      <c r="G10" s="161" t="e">
        <f>+#REF!</f>
        <v>#REF!</v>
      </c>
      <c r="H10" s="161" t="e">
        <f>+#REF!</f>
        <v>#REF!</v>
      </c>
      <c r="I10" s="161" t="e">
        <f>+#REF!</f>
        <v>#REF!</v>
      </c>
      <c r="J10" s="161" t="e">
        <f>+#REF!</f>
        <v>#REF!</v>
      </c>
      <c r="K10" s="161" t="e">
        <f>+#REF!</f>
        <v>#REF!</v>
      </c>
      <c r="L10" s="161" t="e">
        <f>($L$23*BH10)/100</f>
        <v>#REF!</v>
      </c>
      <c r="M10" s="161" t="e">
        <f>+#REF!</f>
        <v>#REF!</v>
      </c>
      <c r="N10" s="160" t="e">
        <f>+#REF!</f>
        <v>#REF!</v>
      </c>
      <c r="O10" s="160" t="e">
        <f>+#REF!</f>
        <v>#REF!</v>
      </c>
      <c r="P10" s="160" t="e">
        <f>+#REF!</f>
        <v>#REF!</v>
      </c>
      <c r="Q10" s="220" t="e">
        <f>(Q$23*BP10)/100</f>
        <v>#REF!</v>
      </c>
      <c r="R10" s="160" t="e">
        <f>(R$23*BM10)/100</f>
        <v>#REF!</v>
      </c>
      <c r="S10" s="160" t="e">
        <f t="shared" si="0"/>
        <v>#REF!</v>
      </c>
      <c r="T10" s="160" t="e">
        <f>+#REF!</f>
        <v>#REF!</v>
      </c>
      <c r="U10" s="162" t="e">
        <f t="shared" si="11"/>
        <v>#REF!</v>
      </c>
      <c r="V10" s="162" t="e">
        <f t="shared" si="12"/>
        <v>#REF!</v>
      </c>
      <c r="W10" s="159"/>
      <c r="X10" s="163">
        <f t="shared" si="1"/>
        <v>-11.967193071828831</v>
      </c>
      <c r="Y10" s="163">
        <f t="shared" si="1"/>
        <v>8.1986755273470546</v>
      </c>
      <c r="Z10" s="163">
        <f t="shared" si="1"/>
        <v>13.450681476378822</v>
      </c>
      <c r="AA10" s="163" t="e">
        <f t="shared" si="1"/>
        <v>#REF!</v>
      </c>
      <c r="AB10" s="163" t="e">
        <f t="shared" si="1"/>
        <v>#REF!</v>
      </c>
      <c r="AC10" s="163" t="e">
        <f t="shared" si="1"/>
        <v>#REF!</v>
      </c>
      <c r="AD10" s="163" t="e">
        <f t="shared" si="1"/>
        <v>#REF!</v>
      </c>
      <c r="AE10" s="163" t="e">
        <f t="shared" si="1"/>
        <v>#REF!</v>
      </c>
      <c r="AF10" s="163" t="e">
        <f t="shared" si="1"/>
        <v>#REF!</v>
      </c>
      <c r="AG10" s="163" t="e">
        <f t="shared" si="1"/>
        <v>#REF!</v>
      </c>
      <c r="AH10" s="163" t="e">
        <f t="shared" si="2"/>
        <v>#REF!</v>
      </c>
      <c r="AI10" s="227">
        <f>+ประมาณ54US!AH10</f>
        <v>0</v>
      </c>
      <c r="AJ10" s="227">
        <f>+ประมาณ54US!AI10</f>
        <v>0</v>
      </c>
      <c r="AK10" s="227">
        <f>+ประมาณ54US!AJ10</f>
        <v>0</v>
      </c>
      <c r="AL10" s="227">
        <f>+ประมาณ54US!AK10</f>
        <v>0</v>
      </c>
      <c r="AM10" s="163" t="e">
        <f t="shared" si="13"/>
        <v>#REF!</v>
      </c>
      <c r="AN10" s="163" t="e">
        <f t="shared" si="13"/>
        <v>#REF!</v>
      </c>
      <c r="AO10" s="163" t="e">
        <f t="shared" si="13"/>
        <v>#REF!</v>
      </c>
      <c r="AP10" s="223" t="e">
        <f t="shared" si="13"/>
        <v>#REF!</v>
      </c>
      <c r="AQ10" s="163" t="e">
        <f t="shared" si="3"/>
        <v>#REF!</v>
      </c>
      <c r="AR10" s="163" t="e">
        <f t="shared" si="4"/>
        <v>#REF!</v>
      </c>
      <c r="AS10" s="164" t="e">
        <f t="shared" si="5"/>
        <v>#REF!</v>
      </c>
      <c r="AT10" s="163" t="e">
        <f t="shared" si="6"/>
        <v>#REF!</v>
      </c>
      <c r="AU10" s="163" t="e">
        <f t="shared" si="14"/>
        <v>#REF!</v>
      </c>
      <c r="AV10" s="163" t="e">
        <f t="shared" si="7"/>
        <v>#REF!</v>
      </c>
      <c r="AW10" s="163"/>
      <c r="AX10" s="163">
        <f t="shared" si="8"/>
        <v>8.412739364506038</v>
      </c>
      <c r="AY10" s="163">
        <f t="shared" si="8"/>
        <v>7.9284354011657534</v>
      </c>
      <c r="AZ10" s="163">
        <f t="shared" si="8"/>
        <v>7.9954398859458351</v>
      </c>
      <c r="BA10" s="163">
        <f t="shared" si="8"/>
        <v>7.6168156377721328</v>
      </c>
      <c r="BB10" s="163" t="e">
        <f t="shared" si="8"/>
        <v>#REF!</v>
      </c>
      <c r="BC10" s="163" t="e">
        <f t="shared" si="8"/>
        <v>#REF!</v>
      </c>
      <c r="BD10" s="163" t="e">
        <f t="shared" si="8"/>
        <v>#REF!</v>
      </c>
      <c r="BE10" s="163" t="e">
        <f t="shared" si="8"/>
        <v>#REF!</v>
      </c>
      <c r="BF10" s="163" t="e">
        <f t="shared" si="8"/>
        <v>#REF!</v>
      </c>
      <c r="BG10" s="163" t="e">
        <f t="shared" si="8"/>
        <v>#REF!</v>
      </c>
      <c r="BH10" s="164" t="e">
        <f t="shared" si="15"/>
        <v>#REF!</v>
      </c>
      <c r="BI10" s="163" t="e">
        <f t="shared" si="9"/>
        <v>#REF!</v>
      </c>
      <c r="BJ10" s="163" t="e">
        <f t="shared" si="9"/>
        <v>#REF!</v>
      </c>
      <c r="BK10" s="163" t="e">
        <f t="shared" si="9"/>
        <v>#REF!</v>
      </c>
      <c r="BL10" s="163" t="e">
        <f t="shared" si="9"/>
        <v>#REF!</v>
      </c>
      <c r="BM10" s="163" t="e">
        <f t="shared" si="16"/>
        <v>#REF!</v>
      </c>
      <c r="BN10" s="163" t="e">
        <f t="shared" si="10"/>
        <v>#REF!</v>
      </c>
      <c r="BO10" s="163" t="e">
        <f t="shared" si="10"/>
        <v>#REF!</v>
      </c>
      <c r="BP10" s="163" t="e">
        <f t="shared" si="10"/>
        <v>#REF!</v>
      </c>
      <c r="BQ10" s="165" t="e">
        <f t="shared" si="17"/>
        <v>#REF!</v>
      </c>
      <c r="BR10" s="166" t="e">
        <f t="shared" si="18"/>
        <v>#REF!</v>
      </c>
    </row>
    <row r="11" spans="1:70" ht="17.55" customHeight="1">
      <c r="A11" s="160" t="s">
        <v>14</v>
      </c>
      <c r="B11" s="161">
        <v>4763.72</v>
      </c>
      <c r="C11" s="161">
        <v>4622.34</v>
      </c>
      <c r="D11" s="161">
        <v>4810.3999999999996</v>
      </c>
      <c r="E11" s="161">
        <v>5574.4</v>
      </c>
      <c r="F11" s="161" t="e">
        <f>+#REF!</f>
        <v>#REF!</v>
      </c>
      <c r="G11" s="161" t="e">
        <f>+#REF!</f>
        <v>#REF!</v>
      </c>
      <c r="H11" s="161" t="e">
        <f>+#REF!</f>
        <v>#REF!</v>
      </c>
      <c r="I11" s="161" t="e">
        <f>+#REF!</f>
        <v>#REF!</v>
      </c>
      <c r="J11" s="161" t="e">
        <f>+#REF!</f>
        <v>#REF!</v>
      </c>
      <c r="K11" s="161" t="e">
        <f>+#REF!</f>
        <v>#REF!</v>
      </c>
      <c r="L11" s="161" t="e">
        <f>($L$23*BH11)/100</f>
        <v>#REF!</v>
      </c>
      <c r="M11" s="161" t="e">
        <f>+#REF!</f>
        <v>#REF!</v>
      </c>
      <c r="N11" s="160" t="e">
        <f>+#REF!</f>
        <v>#REF!</v>
      </c>
      <c r="O11" s="160" t="e">
        <f>+#REF!</f>
        <v>#REF!</v>
      </c>
      <c r="P11" s="160" t="e">
        <f>+#REF!</f>
        <v>#REF!</v>
      </c>
      <c r="Q11" s="220" t="e">
        <f>(Q$23*BP11)/100</f>
        <v>#REF!</v>
      </c>
      <c r="R11" s="160" t="e">
        <f>(R$23*BM11)/100</f>
        <v>#REF!</v>
      </c>
      <c r="S11" s="160" t="e">
        <f>+T11</f>
        <v>#REF!</v>
      </c>
      <c r="T11" s="160" t="e">
        <f>+#REF!</f>
        <v>#REF!</v>
      </c>
      <c r="U11" s="162" t="e">
        <f t="shared" si="11"/>
        <v>#REF!</v>
      </c>
      <c r="V11" s="162" t="e">
        <f t="shared" si="12"/>
        <v>#REF!</v>
      </c>
      <c r="W11" s="159"/>
      <c r="X11" s="163">
        <f t="shared" si="1"/>
        <v>-2.9678486560922979</v>
      </c>
      <c r="Y11" s="163">
        <f t="shared" si="1"/>
        <v>4.0685021006676259</v>
      </c>
      <c r="Z11" s="163">
        <f t="shared" si="1"/>
        <v>15.882255113919852</v>
      </c>
      <c r="AA11" s="163" t="e">
        <f t="shared" si="1"/>
        <v>#REF!</v>
      </c>
      <c r="AB11" s="163" t="e">
        <f t="shared" si="1"/>
        <v>#REF!</v>
      </c>
      <c r="AC11" s="164" t="e">
        <f t="shared" si="1"/>
        <v>#REF!</v>
      </c>
      <c r="AD11" s="163" t="e">
        <f t="shared" si="1"/>
        <v>#REF!</v>
      </c>
      <c r="AE11" s="163" t="e">
        <f t="shared" si="1"/>
        <v>#REF!</v>
      </c>
      <c r="AF11" s="163" t="e">
        <f t="shared" si="1"/>
        <v>#REF!</v>
      </c>
      <c r="AG11" s="163" t="e">
        <f t="shared" si="1"/>
        <v>#REF!</v>
      </c>
      <c r="AH11" s="163" t="e">
        <f t="shared" si="2"/>
        <v>#REF!</v>
      </c>
      <c r="AI11" s="227">
        <f>+ประมาณ54US!AH11</f>
        <v>0</v>
      </c>
      <c r="AJ11" s="227">
        <f>+ประมาณ54US!AI11</f>
        <v>0</v>
      </c>
      <c r="AK11" s="227">
        <f>+ประมาณ54US!AJ11</f>
        <v>0</v>
      </c>
      <c r="AL11" s="227">
        <f>+ประมาณ54US!AK11</f>
        <v>0</v>
      </c>
      <c r="AM11" s="163" t="e">
        <f t="shared" si="13"/>
        <v>#REF!</v>
      </c>
      <c r="AN11" s="163" t="e">
        <f t="shared" si="13"/>
        <v>#REF!</v>
      </c>
      <c r="AO11" s="163" t="e">
        <f t="shared" si="13"/>
        <v>#REF!</v>
      </c>
      <c r="AP11" s="223" t="e">
        <f t="shared" si="13"/>
        <v>#REF!</v>
      </c>
      <c r="AQ11" s="163" t="e">
        <f t="shared" si="3"/>
        <v>#REF!</v>
      </c>
      <c r="AR11" s="163" t="e">
        <f t="shared" si="4"/>
        <v>#REF!</v>
      </c>
      <c r="AS11" s="164" t="e">
        <f t="shared" si="5"/>
        <v>#REF!</v>
      </c>
      <c r="AT11" s="163" t="e">
        <f t="shared" si="6"/>
        <v>#REF!</v>
      </c>
      <c r="AU11" s="163" t="e">
        <f t="shared" si="14"/>
        <v>#REF!</v>
      </c>
      <c r="AV11" s="163" t="e">
        <f t="shared" si="7"/>
        <v>#REF!</v>
      </c>
      <c r="AW11" s="163"/>
      <c r="AX11" s="163">
        <f t="shared" si="8"/>
        <v>8.1662628151777295</v>
      </c>
      <c r="AY11" s="163">
        <f t="shared" si="8"/>
        <v>8.4829033987293467</v>
      </c>
      <c r="AZ11" s="163">
        <f t="shared" si="8"/>
        <v>8.2280467539975817</v>
      </c>
      <c r="BA11" s="163">
        <f t="shared" si="8"/>
        <v>8.0064069640113846</v>
      </c>
      <c r="BB11" s="163" t="e">
        <f t="shared" si="8"/>
        <v>#REF!</v>
      </c>
      <c r="BC11" s="163" t="e">
        <f t="shared" si="8"/>
        <v>#REF!</v>
      </c>
      <c r="BD11" s="164" t="e">
        <f t="shared" si="8"/>
        <v>#REF!</v>
      </c>
      <c r="BE11" s="163" t="e">
        <f t="shared" si="8"/>
        <v>#REF!</v>
      </c>
      <c r="BF11" s="163" t="e">
        <f t="shared" si="8"/>
        <v>#REF!</v>
      </c>
      <c r="BG11" s="163" t="e">
        <f t="shared" si="8"/>
        <v>#REF!</v>
      </c>
      <c r="BH11" s="164" t="e">
        <f t="shared" si="15"/>
        <v>#REF!</v>
      </c>
      <c r="BI11" s="163" t="e">
        <f t="shared" si="9"/>
        <v>#REF!</v>
      </c>
      <c r="BJ11" s="163" t="e">
        <f t="shared" si="9"/>
        <v>#REF!</v>
      </c>
      <c r="BK11" s="163" t="e">
        <f t="shared" si="9"/>
        <v>#REF!</v>
      </c>
      <c r="BL11" s="163" t="e">
        <f t="shared" si="9"/>
        <v>#REF!</v>
      </c>
      <c r="BM11" s="163" t="e">
        <f t="shared" si="16"/>
        <v>#REF!</v>
      </c>
      <c r="BN11" s="163" t="e">
        <f t="shared" si="10"/>
        <v>#REF!</v>
      </c>
      <c r="BO11" s="163" t="e">
        <f t="shared" si="10"/>
        <v>#REF!</v>
      </c>
      <c r="BP11" s="163" t="e">
        <f t="shared" si="10"/>
        <v>#REF!</v>
      </c>
      <c r="BQ11" s="165" t="e">
        <f t="shared" si="17"/>
        <v>#REF!</v>
      </c>
      <c r="BR11" s="166" t="e">
        <f t="shared" si="18"/>
        <v>#REF!</v>
      </c>
    </row>
    <row r="12" spans="1:70" ht="17.55" customHeight="1">
      <c r="A12" s="167" t="s">
        <v>15</v>
      </c>
      <c r="B12" s="168">
        <v>14038.67</v>
      </c>
      <c r="C12" s="168">
        <v>13278.77</v>
      </c>
      <c r="D12" s="168">
        <v>14023.79</v>
      </c>
      <c r="E12" s="169">
        <f t="shared" ref="E12:T12" si="20">+E9+E10+E11</f>
        <v>16126.35</v>
      </c>
      <c r="F12" s="169" t="e">
        <f t="shared" si="20"/>
        <v>#REF!</v>
      </c>
      <c r="G12" s="169" t="e">
        <f t="shared" si="20"/>
        <v>#REF!</v>
      </c>
      <c r="H12" s="169" t="e">
        <f t="shared" si="20"/>
        <v>#REF!</v>
      </c>
      <c r="I12" s="169" t="e">
        <f t="shared" si="20"/>
        <v>#REF!</v>
      </c>
      <c r="J12" s="168" t="e">
        <f t="shared" si="20"/>
        <v>#REF!</v>
      </c>
      <c r="K12" s="168" t="e">
        <f t="shared" si="20"/>
        <v>#REF!</v>
      </c>
      <c r="L12" s="168" t="e">
        <f t="shared" si="20"/>
        <v>#REF!</v>
      </c>
      <c r="M12" s="168" t="e">
        <f t="shared" si="20"/>
        <v>#REF!</v>
      </c>
      <c r="N12" s="170" t="e">
        <f t="shared" si="20"/>
        <v>#REF!</v>
      </c>
      <c r="O12" s="170" t="e">
        <f t="shared" si="20"/>
        <v>#REF!</v>
      </c>
      <c r="P12" s="170" t="e">
        <f t="shared" si="20"/>
        <v>#REF!</v>
      </c>
      <c r="Q12" s="221" t="e">
        <f t="shared" si="20"/>
        <v>#REF!</v>
      </c>
      <c r="R12" s="170" t="e">
        <f t="shared" si="20"/>
        <v>#REF!</v>
      </c>
      <c r="S12" s="170" t="e">
        <f t="shared" si="20"/>
        <v>#REF!</v>
      </c>
      <c r="T12" s="170" t="e">
        <f t="shared" si="20"/>
        <v>#REF!</v>
      </c>
      <c r="U12" s="174" t="e">
        <f t="shared" si="11"/>
        <v>#REF!</v>
      </c>
      <c r="V12" s="174" t="e">
        <f t="shared" si="12"/>
        <v>#REF!</v>
      </c>
      <c r="W12" s="172"/>
      <c r="X12" s="173">
        <f t="shared" si="1"/>
        <v>-5.4129059234243719</v>
      </c>
      <c r="Y12" s="173">
        <f t="shared" si="1"/>
        <v>5.6106100188496377</v>
      </c>
      <c r="Z12" s="173">
        <f t="shared" si="1"/>
        <v>14.992808648731891</v>
      </c>
      <c r="AA12" s="173" t="e">
        <f t="shared" si="1"/>
        <v>#REF!</v>
      </c>
      <c r="AB12" s="173" t="e">
        <f t="shared" si="1"/>
        <v>#REF!</v>
      </c>
      <c r="AC12" s="341" t="e">
        <f t="shared" si="1"/>
        <v>#REF!</v>
      </c>
      <c r="AD12" s="173" t="e">
        <f t="shared" si="1"/>
        <v>#REF!</v>
      </c>
      <c r="AE12" s="173" t="e">
        <f t="shared" si="1"/>
        <v>#REF!</v>
      </c>
      <c r="AF12" s="173" t="e">
        <f t="shared" si="1"/>
        <v>#REF!</v>
      </c>
      <c r="AG12" s="173" t="e">
        <f t="shared" si="1"/>
        <v>#REF!</v>
      </c>
      <c r="AH12" s="341" t="e">
        <f t="shared" si="2"/>
        <v>#REF!</v>
      </c>
      <c r="AI12" s="228">
        <f>+ประมาณ54US!AH12</f>
        <v>0</v>
      </c>
      <c r="AJ12" s="228">
        <f>+ประมาณ54US!AI12</f>
        <v>0</v>
      </c>
      <c r="AK12" s="228">
        <f>+ประมาณ54US!AJ12</f>
        <v>0</v>
      </c>
      <c r="AL12" s="228">
        <f>+ประมาณ54US!AK12</f>
        <v>0</v>
      </c>
      <c r="AM12" s="341" t="e">
        <f t="shared" si="13"/>
        <v>#REF!</v>
      </c>
      <c r="AN12" s="341" t="e">
        <f t="shared" si="13"/>
        <v>#REF!</v>
      </c>
      <c r="AO12" s="341" t="e">
        <f t="shared" si="13"/>
        <v>#REF!</v>
      </c>
      <c r="AP12" s="224" t="e">
        <f t="shared" si="13"/>
        <v>#REF!</v>
      </c>
      <c r="AQ12" s="341" t="e">
        <f t="shared" si="3"/>
        <v>#REF!</v>
      </c>
      <c r="AR12" s="341" t="e">
        <f t="shared" si="4"/>
        <v>#REF!</v>
      </c>
      <c r="AS12" s="341" t="e">
        <f t="shared" si="5"/>
        <v>#REF!</v>
      </c>
      <c r="AT12" s="341" t="e">
        <f t="shared" si="6"/>
        <v>#REF!</v>
      </c>
      <c r="AU12" s="173" t="e">
        <f t="shared" si="14"/>
        <v>#REF!</v>
      </c>
      <c r="AV12" s="173" t="e">
        <f t="shared" si="7"/>
        <v>#REF!</v>
      </c>
      <c r="AW12" s="173"/>
      <c r="AX12" s="173">
        <f t="shared" si="8"/>
        <v>24.065954505208357</v>
      </c>
      <c r="AY12" s="173">
        <f t="shared" si="8"/>
        <v>24.369155701213085</v>
      </c>
      <c r="AZ12" s="173">
        <f t="shared" si="8"/>
        <v>23.987277521254736</v>
      </c>
      <c r="BA12" s="173">
        <f t="shared" si="8"/>
        <v>23.161976346169098</v>
      </c>
      <c r="BB12" s="173" t="e">
        <f t="shared" si="8"/>
        <v>#REF!</v>
      </c>
      <c r="BC12" s="173" t="e">
        <f t="shared" si="8"/>
        <v>#REF!</v>
      </c>
      <c r="BD12" s="341" t="e">
        <f t="shared" si="8"/>
        <v>#REF!</v>
      </c>
      <c r="BE12" s="173" t="e">
        <f t="shared" si="8"/>
        <v>#REF!</v>
      </c>
      <c r="BF12" s="173" t="e">
        <f t="shared" si="8"/>
        <v>#REF!</v>
      </c>
      <c r="BG12" s="173" t="e">
        <f t="shared" si="8"/>
        <v>#REF!</v>
      </c>
      <c r="BH12" s="341" t="e">
        <f t="shared" si="15"/>
        <v>#REF!</v>
      </c>
      <c r="BI12" s="341" t="e">
        <f t="shared" si="9"/>
        <v>#REF!</v>
      </c>
      <c r="BJ12" s="341" t="e">
        <f t="shared" si="9"/>
        <v>#REF!</v>
      </c>
      <c r="BK12" s="341" t="e">
        <f t="shared" si="9"/>
        <v>#REF!</v>
      </c>
      <c r="BL12" s="341" t="e">
        <f t="shared" si="9"/>
        <v>#REF!</v>
      </c>
      <c r="BM12" s="341" t="e">
        <f t="shared" si="16"/>
        <v>#REF!</v>
      </c>
      <c r="BN12" s="341" t="e">
        <f t="shared" si="10"/>
        <v>#REF!</v>
      </c>
      <c r="BO12" s="341" t="e">
        <f t="shared" si="10"/>
        <v>#REF!</v>
      </c>
      <c r="BP12" s="341" t="e">
        <f t="shared" si="10"/>
        <v>#REF!</v>
      </c>
      <c r="BQ12" s="231" t="e">
        <f t="shared" si="17"/>
        <v>#REF!</v>
      </c>
      <c r="BR12" s="342" t="e">
        <f t="shared" si="18"/>
        <v>#REF!</v>
      </c>
    </row>
    <row r="13" spans="1:70" ht="17.55" customHeight="1">
      <c r="A13" s="167" t="s">
        <v>16</v>
      </c>
      <c r="B13" s="168">
        <v>28089.919999999998</v>
      </c>
      <c r="C13" s="168">
        <v>26917.51</v>
      </c>
      <c r="D13" s="168">
        <v>27096.6</v>
      </c>
      <c r="E13" s="168">
        <f t="shared" ref="E13:T13" si="21">+E12+E8</f>
        <v>32674.71</v>
      </c>
      <c r="F13" s="168" t="e">
        <f t="shared" si="21"/>
        <v>#REF!</v>
      </c>
      <c r="G13" s="168" t="e">
        <f t="shared" si="21"/>
        <v>#REF!</v>
      </c>
      <c r="H13" s="168" t="e">
        <f t="shared" si="21"/>
        <v>#REF!</v>
      </c>
      <c r="I13" s="168" t="e">
        <f t="shared" si="21"/>
        <v>#REF!</v>
      </c>
      <c r="J13" s="168" t="e">
        <f t="shared" si="21"/>
        <v>#REF!</v>
      </c>
      <c r="K13" s="168" t="e">
        <f t="shared" si="21"/>
        <v>#REF!</v>
      </c>
      <c r="L13" s="168" t="e">
        <f t="shared" si="21"/>
        <v>#REF!</v>
      </c>
      <c r="M13" s="168" t="e">
        <f t="shared" si="21"/>
        <v>#REF!</v>
      </c>
      <c r="N13" s="170" t="e">
        <f t="shared" si="21"/>
        <v>#REF!</v>
      </c>
      <c r="O13" s="170" t="e">
        <f t="shared" si="21"/>
        <v>#REF!</v>
      </c>
      <c r="P13" s="170" t="e">
        <f t="shared" si="21"/>
        <v>#REF!</v>
      </c>
      <c r="Q13" s="221" t="e">
        <f t="shared" si="21"/>
        <v>#REF!</v>
      </c>
      <c r="R13" s="170" t="e">
        <f t="shared" si="21"/>
        <v>#REF!</v>
      </c>
      <c r="S13" s="170" t="e">
        <f t="shared" si="21"/>
        <v>#REF!</v>
      </c>
      <c r="T13" s="170" t="e">
        <f t="shared" si="21"/>
        <v>#REF!</v>
      </c>
      <c r="U13" s="174" t="e">
        <f t="shared" si="11"/>
        <v>#REF!</v>
      </c>
      <c r="V13" s="174" t="e">
        <f t="shared" si="12"/>
        <v>#REF!</v>
      </c>
      <c r="W13" s="172"/>
      <c r="X13" s="173">
        <f t="shared" si="1"/>
        <v>-4.1737747918114358</v>
      </c>
      <c r="Y13" s="173">
        <f t="shared" si="1"/>
        <v>0.66532899959914626</v>
      </c>
      <c r="Z13" s="173">
        <f t="shared" si="1"/>
        <v>20.586014481521666</v>
      </c>
      <c r="AA13" s="173" t="e">
        <f t="shared" si="1"/>
        <v>#REF!</v>
      </c>
      <c r="AB13" s="173" t="e">
        <f t="shared" si="1"/>
        <v>#REF!</v>
      </c>
      <c r="AC13" s="341" t="e">
        <f t="shared" si="1"/>
        <v>#REF!</v>
      </c>
      <c r="AD13" s="173" t="e">
        <f t="shared" si="1"/>
        <v>#REF!</v>
      </c>
      <c r="AE13" s="173" t="e">
        <f t="shared" si="1"/>
        <v>#REF!</v>
      </c>
      <c r="AF13" s="173" t="e">
        <f t="shared" si="1"/>
        <v>#REF!</v>
      </c>
      <c r="AG13" s="173" t="e">
        <f t="shared" si="1"/>
        <v>#REF!</v>
      </c>
      <c r="AH13" s="341" t="e">
        <f t="shared" si="2"/>
        <v>#REF!</v>
      </c>
      <c r="AI13" s="228">
        <f>+ประมาณ54US!AH13</f>
        <v>0</v>
      </c>
      <c r="AJ13" s="228">
        <f>+ประมาณ54US!AI13</f>
        <v>0</v>
      </c>
      <c r="AK13" s="228">
        <f>+ประมาณ54US!AJ13</f>
        <v>0</v>
      </c>
      <c r="AL13" s="228">
        <f>+ประมาณ54US!AK13</f>
        <v>0</v>
      </c>
      <c r="AM13" s="341" t="e">
        <f t="shared" si="13"/>
        <v>#REF!</v>
      </c>
      <c r="AN13" s="341" t="e">
        <f t="shared" si="13"/>
        <v>#REF!</v>
      </c>
      <c r="AO13" s="341" t="e">
        <f t="shared" si="13"/>
        <v>#REF!</v>
      </c>
      <c r="AP13" s="224" t="e">
        <f t="shared" si="13"/>
        <v>#REF!</v>
      </c>
      <c r="AQ13" s="341" t="e">
        <f t="shared" si="3"/>
        <v>#REF!</v>
      </c>
      <c r="AR13" s="341" t="e">
        <f t="shared" si="4"/>
        <v>#REF!</v>
      </c>
      <c r="AS13" s="341" t="e">
        <f t="shared" si="5"/>
        <v>#REF!</v>
      </c>
      <c r="AT13" s="341" t="e">
        <f t="shared" si="6"/>
        <v>#REF!</v>
      </c>
      <c r="AU13" s="173" t="e">
        <f t="shared" si="14"/>
        <v>#REF!</v>
      </c>
      <c r="AV13" s="173" t="e">
        <f t="shared" si="7"/>
        <v>#REF!</v>
      </c>
      <c r="AW13" s="173"/>
      <c r="AX13" s="173">
        <f t="shared" si="8"/>
        <v>48.153474422786644</v>
      </c>
      <c r="AY13" s="173">
        <f t="shared" si="8"/>
        <v>49.398927180677141</v>
      </c>
      <c r="AZ13" s="173">
        <f t="shared" si="8"/>
        <v>46.347931913015742</v>
      </c>
      <c r="BA13" s="173">
        <f t="shared" si="8"/>
        <v>46.930077800490174</v>
      </c>
      <c r="BB13" s="173" t="e">
        <f t="shared" si="8"/>
        <v>#REF!</v>
      </c>
      <c r="BC13" s="173" t="e">
        <f t="shared" si="8"/>
        <v>#REF!</v>
      </c>
      <c r="BD13" s="341" t="e">
        <f t="shared" si="8"/>
        <v>#REF!</v>
      </c>
      <c r="BE13" s="173" t="e">
        <f t="shared" si="8"/>
        <v>#REF!</v>
      </c>
      <c r="BF13" s="173" t="e">
        <f t="shared" si="8"/>
        <v>#REF!</v>
      </c>
      <c r="BG13" s="173" t="e">
        <f t="shared" si="8"/>
        <v>#REF!</v>
      </c>
      <c r="BH13" s="341" t="e">
        <f t="shared" si="15"/>
        <v>#REF!</v>
      </c>
      <c r="BI13" s="341" t="e">
        <f t="shared" si="9"/>
        <v>#REF!</v>
      </c>
      <c r="BJ13" s="341" t="e">
        <f t="shared" si="9"/>
        <v>#REF!</v>
      </c>
      <c r="BK13" s="341" t="e">
        <f t="shared" si="9"/>
        <v>#REF!</v>
      </c>
      <c r="BL13" s="341" t="e">
        <f t="shared" si="9"/>
        <v>#REF!</v>
      </c>
      <c r="BM13" s="341" t="e">
        <f t="shared" si="16"/>
        <v>#REF!</v>
      </c>
      <c r="BN13" s="341" t="e">
        <f t="shared" si="10"/>
        <v>#REF!</v>
      </c>
      <c r="BO13" s="341" t="e">
        <f t="shared" si="10"/>
        <v>#REF!</v>
      </c>
      <c r="BP13" s="341" t="e">
        <f t="shared" si="10"/>
        <v>#REF!</v>
      </c>
      <c r="BQ13" s="231" t="e">
        <f t="shared" si="17"/>
        <v>#REF!</v>
      </c>
      <c r="BR13" s="342" t="e">
        <f t="shared" si="18"/>
        <v>#REF!</v>
      </c>
    </row>
    <row r="14" spans="1:70" ht="17.55" customHeight="1">
      <c r="A14" s="160" t="s">
        <v>17</v>
      </c>
      <c r="B14" s="161">
        <v>4881.54</v>
      </c>
      <c r="C14" s="161">
        <v>4686.3</v>
      </c>
      <c r="D14" s="161">
        <v>5056.12</v>
      </c>
      <c r="E14" s="161">
        <v>6135.21</v>
      </c>
      <c r="F14" s="161" t="e">
        <f>+#REF!</f>
        <v>#REF!</v>
      </c>
      <c r="G14" s="161" t="e">
        <f>+#REF!</f>
        <v>#REF!</v>
      </c>
      <c r="H14" s="161" t="e">
        <f>+#REF!</f>
        <v>#REF!</v>
      </c>
      <c r="I14" s="161" t="e">
        <f>+#REF!</f>
        <v>#REF!</v>
      </c>
      <c r="J14" s="161" t="e">
        <f>+#REF!</f>
        <v>#REF!</v>
      </c>
      <c r="K14" s="161" t="e">
        <f>+#REF!</f>
        <v>#REF!</v>
      </c>
      <c r="L14" s="161" t="e">
        <f>($L$23*BH14)/100</f>
        <v>#REF!</v>
      </c>
      <c r="M14" s="161" t="e">
        <f>+#REF!</f>
        <v>#REF!</v>
      </c>
      <c r="N14" s="160" t="e">
        <f>+#REF!</f>
        <v>#REF!</v>
      </c>
      <c r="O14" s="160" t="e">
        <f>+#REF!</f>
        <v>#REF!</v>
      </c>
      <c r="P14" s="160" t="e">
        <f>+#REF!</f>
        <v>#REF!</v>
      </c>
      <c r="Q14" s="220" t="e">
        <f>(Q$23*BP14)/100</f>
        <v>#REF!</v>
      </c>
      <c r="R14" s="160" t="e">
        <f>(R$23*BM14)/100</f>
        <v>#REF!</v>
      </c>
      <c r="S14" s="160" t="e">
        <f>+#REF!</f>
        <v>#REF!</v>
      </c>
      <c r="T14" s="160" t="e">
        <f>+#REF!</f>
        <v>#REF!</v>
      </c>
      <c r="U14" s="162" t="e">
        <f t="shared" si="11"/>
        <v>#REF!</v>
      </c>
      <c r="V14" s="162" t="e">
        <f t="shared" si="12"/>
        <v>#REF!</v>
      </c>
      <c r="W14" s="159"/>
      <c r="X14" s="163">
        <f t="shared" si="1"/>
        <v>-3.9995575166853037</v>
      </c>
      <c r="Y14" s="163">
        <f t="shared" si="1"/>
        <v>7.8915135608048859</v>
      </c>
      <c r="Z14" s="163">
        <f t="shared" si="1"/>
        <v>21.342254535098061</v>
      </c>
      <c r="AA14" s="163" t="e">
        <f t="shared" si="1"/>
        <v>#REF!</v>
      </c>
      <c r="AB14" s="163" t="e">
        <f t="shared" si="1"/>
        <v>#REF!</v>
      </c>
      <c r="AC14" s="164" t="e">
        <f t="shared" si="1"/>
        <v>#REF!</v>
      </c>
      <c r="AD14" s="163" t="e">
        <f t="shared" si="1"/>
        <v>#REF!</v>
      </c>
      <c r="AE14" s="163" t="e">
        <f t="shared" si="1"/>
        <v>#REF!</v>
      </c>
      <c r="AF14" s="163" t="e">
        <f t="shared" si="1"/>
        <v>#REF!</v>
      </c>
      <c r="AG14" s="163" t="e">
        <f t="shared" si="1"/>
        <v>#REF!</v>
      </c>
      <c r="AH14" s="163" t="e">
        <f t="shared" si="2"/>
        <v>#REF!</v>
      </c>
      <c r="AI14" s="227">
        <f>+ประมาณ54US!AH14</f>
        <v>0</v>
      </c>
      <c r="AJ14" s="227">
        <f>+ประมาณ54US!AI14</f>
        <v>0</v>
      </c>
      <c r="AK14" s="227">
        <f>+ประมาณ54US!AJ14</f>
        <v>0</v>
      </c>
      <c r="AL14" s="227">
        <f>+ประมาณ54US!AK14</f>
        <v>0</v>
      </c>
      <c r="AM14" s="163" t="e">
        <f t="shared" si="13"/>
        <v>#REF!</v>
      </c>
      <c r="AN14" s="164" t="e">
        <f t="shared" si="13"/>
        <v>#REF!</v>
      </c>
      <c r="AO14" s="163" t="e">
        <f t="shared" si="13"/>
        <v>#REF!</v>
      </c>
      <c r="AP14" s="223" t="e">
        <f t="shared" si="13"/>
        <v>#REF!</v>
      </c>
      <c r="AQ14" s="163" t="e">
        <f t="shared" si="3"/>
        <v>#REF!</v>
      </c>
      <c r="AR14" s="163" t="e">
        <f t="shared" si="4"/>
        <v>#REF!</v>
      </c>
      <c r="AS14" s="164" t="e">
        <f t="shared" si="5"/>
        <v>#REF!</v>
      </c>
      <c r="AT14" s="163" t="e">
        <f t="shared" si="6"/>
        <v>#REF!</v>
      </c>
      <c r="AU14" s="163" t="e">
        <f t="shared" si="14"/>
        <v>#REF!</v>
      </c>
      <c r="AV14" s="163" t="e">
        <f t="shared" si="7"/>
        <v>#REF!</v>
      </c>
      <c r="AW14" s="163"/>
      <c r="AX14" s="163">
        <f t="shared" si="8"/>
        <v>8.3682371303944603</v>
      </c>
      <c r="AY14" s="163">
        <f t="shared" si="8"/>
        <v>8.6002825835973429</v>
      </c>
      <c r="AZ14" s="163">
        <f t="shared" si="8"/>
        <v>8.6483435377145899</v>
      </c>
      <c r="BA14" s="163">
        <f t="shared" si="8"/>
        <v>8.8118879286869074</v>
      </c>
      <c r="BB14" s="163" t="e">
        <f t="shared" si="8"/>
        <v>#REF!</v>
      </c>
      <c r="BC14" s="163" t="e">
        <f t="shared" si="8"/>
        <v>#REF!</v>
      </c>
      <c r="BD14" s="164" t="e">
        <f t="shared" si="8"/>
        <v>#REF!</v>
      </c>
      <c r="BE14" s="163" t="e">
        <f t="shared" si="8"/>
        <v>#REF!</v>
      </c>
      <c r="BF14" s="163" t="e">
        <f t="shared" si="8"/>
        <v>#REF!</v>
      </c>
      <c r="BG14" s="163" t="e">
        <f t="shared" si="8"/>
        <v>#REF!</v>
      </c>
      <c r="BH14" s="164" t="e">
        <f t="shared" si="15"/>
        <v>#REF!</v>
      </c>
      <c r="BI14" s="163" t="e">
        <f t="shared" si="9"/>
        <v>#REF!</v>
      </c>
      <c r="BJ14" s="163" t="e">
        <f t="shared" si="9"/>
        <v>#REF!</v>
      </c>
      <c r="BK14" s="163" t="e">
        <f t="shared" si="9"/>
        <v>#REF!</v>
      </c>
      <c r="BL14" s="163" t="e">
        <f t="shared" si="9"/>
        <v>#REF!</v>
      </c>
      <c r="BM14" s="163" t="e">
        <f t="shared" si="16"/>
        <v>#REF!</v>
      </c>
      <c r="BN14" s="163" t="e">
        <f t="shared" si="10"/>
        <v>#REF!</v>
      </c>
      <c r="BO14" s="163" t="e">
        <f t="shared" si="10"/>
        <v>#REF!</v>
      </c>
      <c r="BP14" s="163" t="e">
        <f t="shared" si="10"/>
        <v>#REF!</v>
      </c>
      <c r="BQ14" s="165" t="e">
        <f t="shared" si="17"/>
        <v>#REF!</v>
      </c>
      <c r="BR14" s="166" t="e">
        <f t="shared" si="18"/>
        <v>#REF!</v>
      </c>
    </row>
    <row r="15" spans="1:70" ht="17.55" customHeight="1">
      <c r="A15" s="160" t="s">
        <v>20</v>
      </c>
      <c r="B15" s="161">
        <v>4954.97</v>
      </c>
      <c r="C15" s="161">
        <v>4346.53</v>
      </c>
      <c r="D15" s="161">
        <v>4983.12</v>
      </c>
      <c r="E15" s="161">
        <v>6279.37</v>
      </c>
      <c r="F15" s="161" t="e">
        <f>+#REF!</f>
        <v>#REF!</v>
      </c>
      <c r="G15" s="161" t="e">
        <f>+#REF!</f>
        <v>#REF!</v>
      </c>
      <c r="H15" s="161" t="e">
        <f>+#REF!</f>
        <v>#REF!</v>
      </c>
      <c r="I15" s="161" t="e">
        <f>+#REF!</f>
        <v>#REF!</v>
      </c>
      <c r="J15" s="161" t="e">
        <f>+#REF!</f>
        <v>#REF!</v>
      </c>
      <c r="K15" s="161" t="e">
        <f>+#REF!</f>
        <v>#REF!</v>
      </c>
      <c r="L15" s="161" t="e">
        <f>($L$23*BH15)/100</f>
        <v>#REF!</v>
      </c>
      <c r="M15" s="161" t="e">
        <f>+#REF!</f>
        <v>#REF!</v>
      </c>
      <c r="N15" s="160" t="e">
        <f>+#REF!</f>
        <v>#REF!</v>
      </c>
      <c r="O15" s="160" t="e">
        <f>+#REF!</f>
        <v>#REF!</v>
      </c>
      <c r="P15" s="160" t="e">
        <f>+#REF!</f>
        <v>#REF!</v>
      </c>
      <c r="Q15" s="220" t="e">
        <f>(Q$23*BP15)/100</f>
        <v>#REF!</v>
      </c>
      <c r="R15" s="160" t="e">
        <f>(R$23*BM15)/100</f>
        <v>#REF!</v>
      </c>
      <c r="S15" s="160" t="e">
        <f>+#REF!</f>
        <v>#REF!</v>
      </c>
      <c r="T15" s="160" t="e">
        <f>+#REF!</f>
        <v>#REF!</v>
      </c>
      <c r="U15" s="162" t="e">
        <f t="shared" si="11"/>
        <v>#REF!</v>
      </c>
      <c r="V15" s="162" t="e">
        <f t="shared" si="12"/>
        <v>#REF!</v>
      </c>
      <c r="W15" s="159"/>
      <c r="X15" s="163">
        <f t="shared" si="1"/>
        <v>-12.279388169857752</v>
      </c>
      <c r="Y15" s="163">
        <f t="shared" si="1"/>
        <v>14.645935953507738</v>
      </c>
      <c r="Z15" s="163">
        <f t="shared" si="1"/>
        <v>26.012819277882127</v>
      </c>
      <c r="AA15" s="163" t="e">
        <f t="shared" si="1"/>
        <v>#REF!</v>
      </c>
      <c r="AB15" s="163" t="e">
        <f t="shared" si="1"/>
        <v>#REF!</v>
      </c>
      <c r="AC15" s="164" t="e">
        <f t="shared" si="1"/>
        <v>#REF!</v>
      </c>
      <c r="AD15" s="163" t="e">
        <f t="shared" si="1"/>
        <v>#REF!</v>
      </c>
      <c r="AE15" s="163" t="e">
        <f t="shared" si="1"/>
        <v>#REF!</v>
      </c>
      <c r="AF15" s="163" t="e">
        <f t="shared" si="1"/>
        <v>#REF!</v>
      </c>
      <c r="AG15" s="163" t="e">
        <f t="shared" si="1"/>
        <v>#REF!</v>
      </c>
      <c r="AH15" s="163" t="e">
        <f t="shared" si="2"/>
        <v>#REF!</v>
      </c>
      <c r="AI15" s="227">
        <f>+ประมาณ54US!AH15</f>
        <v>0</v>
      </c>
      <c r="AJ15" s="227">
        <f>+ประมาณ54US!AI15</f>
        <v>0</v>
      </c>
      <c r="AK15" s="227">
        <f>+ประมาณ54US!AJ15</f>
        <v>0</v>
      </c>
      <c r="AL15" s="227">
        <f>+ประมาณ54US!AK15</f>
        <v>0</v>
      </c>
      <c r="AM15" s="163" t="e">
        <f t="shared" si="13"/>
        <v>#REF!</v>
      </c>
      <c r="AN15" s="164" t="e">
        <f t="shared" si="13"/>
        <v>#REF!</v>
      </c>
      <c r="AO15" s="163" t="e">
        <f t="shared" si="13"/>
        <v>#REF!</v>
      </c>
      <c r="AP15" s="223" t="e">
        <f t="shared" si="13"/>
        <v>#REF!</v>
      </c>
      <c r="AQ15" s="163" t="e">
        <f t="shared" si="3"/>
        <v>#REF!</v>
      </c>
      <c r="AR15" s="163" t="e">
        <f t="shared" si="4"/>
        <v>#REF!</v>
      </c>
      <c r="AS15" s="164" t="e">
        <f t="shared" si="5"/>
        <v>#REF!</v>
      </c>
      <c r="AT15" s="163" t="e">
        <f t="shared" si="6"/>
        <v>#REF!</v>
      </c>
      <c r="AU15" s="163" t="e">
        <f t="shared" si="14"/>
        <v>#REF!</v>
      </c>
      <c r="AV15" s="163" t="e">
        <f t="shared" si="7"/>
        <v>#REF!</v>
      </c>
      <c r="AW15" s="163"/>
      <c r="AX15" s="163">
        <f t="shared" si="8"/>
        <v>8.4941153680991324</v>
      </c>
      <c r="AY15" s="163">
        <f t="shared" si="8"/>
        <v>7.9767377799294437</v>
      </c>
      <c r="AZ15" s="163">
        <f t="shared" si="8"/>
        <v>8.5234791993972312</v>
      </c>
      <c r="BA15" s="163">
        <f t="shared" si="8"/>
        <v>9.0189422534450649</v>
      </c>
      <c r="BB15" s="163" t="e">
        <f t="shared" si="8"/>
        <v>#REF!</v>
      </c>
      <c r="BC15" s="163" t="e">
        <f t="shared" si="8"/>
        <v>#REF!</v>
      </c>
      <c r="BD15" s="164" t="e">
        <f t="shared" si="8"/>
        <v>#REF!</v>
      </c>
      <c r="BE15" s="163" t="e">
        <f t="shared" si="8"/>
        <v>#REF!</v>
      </c>
      <c r="BF15" s="163" t="e">
        <f t="shared" si="8"/>
        <v>#REF!</v>
      </c>
      <c r="BG15" s="163" t="e">
        <f t="shared" si="8"/>
        <v>#REF!</v>
      </c>
      <c r="BH15" s="164" t="e">
        <f t="shared" si="15"/>
        <v>#REF!</v>
      </c>
      <c r="BI15" s="163" t="e">
        <f t="shared" si="9"/>
        <v>#REF!</v>
      </c>
      <c r="BJ15" s="163" t="e">
        <f t="shared" si="9"/>
        <v>#REF!</v>
      </c>
      <c r="BK15" s="163" t="e">
        <f t="shared" si="9"/>
        <v>#REF!</v>
      </c>
      <c r="BL15" s="163" t="e">
        <f t="shared" si="9"/>
        <v>#REF!</v>
      </c>
      <c r="BM15" s="163" t="e">
        <f t="shared" si="16"/>
        <v>#REF!</v>
      </c>
      <c r="BN15" s="163" t="e">
        <f t="shared" si="10"/>
        <v>#REF!</v>
      </c>
      <c r="BO15" s="163" t="e">
        <f t="shared" si="10"/>
        <v>#REF!</v>
      </c>
      <c r="BP15" s="163" t="e">
        <f t="shared" si="10"/>
        <v>#REF!</v>
      </c>
      <c r="BQ15" s="165" t="e">
        <f t="shared" si="17"/>
        <v>#REF!</v>
      </c>
      <c r="BR15" s="166" t="e">
        <f t="shared" si="18"/>
        <v>#REF!</v>
      </c>
    </row>
    <row r="16" spans="1:70" ht="17.55" customHeight="1">
      <c r="A16" s="160" t="s">
        <v>22</v>
      </c>
      <c r="B16" s="161">
        <v>5139.1000000000004</v>
      </c>
      <c r="C16" s="161">
        <v>4675.63</v>
      </c>
      <c r="D16" s="161">
        <v>5161.04</v>
      </c>
      <c r="E16" s="161">
        <v>6089.38</v>
      </c>
      <c r="F16" s="161" t="e">
        <f>+#REF!</f>
        <v>#REF!</v>
      </c>
      <c r="G16" s="161" t="e">
        <f>+#REF!</f>
        <v>#REF!</v>
      </c>
      <c r="H16" s="161" t="e">
        <f>+#REF!</f>
        <v>#REF!</v>
      </c>
      <c r="I16" s="161" t="e">
        <f>+#REF!</f>
        <v>#REF!</v>
      </c>
      <c r="J16" s="161" t="e">
        <f>+#REF!</f>
        <v>#REF!</v>
      </c>
      <c r="K16" s="161" t="e">
        <f>+#REF!</f>
        <v>#REF!</v>
      </c>
      <c r="L16" s="161" t="e">
        <f>($L$23*BH16)/100</f>
        <v>#REF!</v>
      </c>
      <c r="M16" s="161" t="e">
        <f>+#REF!</f>
        <v>#REF!</v>
      </c>
      <c r="N16" s="160" t="e">
        <f>+#REF!</f>
        <v>#REF!</v>
      </c>
      <c r="O16" s="160" t="e">
        <f>+#REF!</f>
        <v>#REF!</v>
      </c>
      <c r="P16" s="160" t="e">
        <f>+#REF!</f>
        <v>#REF!</v>
      </c>
      <c r="Q16" s="220" t="e">
        <f>(Q$23*BP16)/100</f>
        <v>#REF!</v>
      </c>
      <c r="R16" s="160" t="e">
        <f>(R$23*BM16)/100</f>
        <v>#REF!</v>
      </c>
      <c r="S16" s="160" t="e">
        <f>+#REF!</f>
        <v>#REF!</v>
      </c>
      <c r="T16" s="160" t="e">
        <f>+#REF!</f>
        <v>#REF!</v>
      </c>
      <c r="U16" s="162" t="e">
        <f t="shared" si="11"/>
        <v>#REF!</v>
      </c>
      <c r="V16" s="162" t="e">
        <f t="shared" si="12"/>
        <v>#REF!</v>
      </c>
      <c r="W16" s="159"/>
      <c r="X16" s="164">
        <f t="shared" si="1"/>
        <v>-9.0185051857329164</v>
      </c>
      <c r="Y16" s="164">
        <f t="shared" si="1"/>
        <v>10.381702572701435</v>
      </c>
      <c r="Z16" s="164">
        <f t="shared" si="1"/>
        <v>17.987459891804747</v>
      </c>
      <c r="AA16" s="164" t="e">
        <f t="shared" si="1"/>
        <v>#REF!</v>
      </c>
      <c r="AB16" s="164" t="e">
        <f t="shared" si="1"/>
        <v>#REF!</v>
      </c>
      <c r="AC16" s="164" t="e">
        <f t="shared" si="1"/>
        <v>#REF!</v>
      </c>
      <c r="AD16" s="163" t="e">
        <f t="shared" si="1"/>
        <v>#REF!</v>
      </c>
      <c r="AE16" s="163" t="e">
        <f t="shared" si="1"/>
        <v>#REF!</v>
      </c>
      <c r="AF16" s="163" t="e">
        <f t="shared" si="1"/>
        <v>#REF!</v>
      </c>
      <c r="AG16" s="163" t="e">
        <f t="shared" si="1"/>
        <v>#REF!</v>
      </c>
      <c r="AH16" s="163" t="e">
        <f t="shared" si="2"/>
        <v>#REF!</v>
      </c>
      <c r="AI16" s="227">
        <f>+ประมาณ54US!AH16</f>
        <v>0</v>
      </c>
      <c r="AJ16" s="227">
        <f>+ประมาณ54US!AI16</f>
        <v>0</v>
      </c>
      <c r="AK16" s="227">
        <f>+ประมาณ54US!AJ16</f>
        <v>0</v>
      </c>
      <c r="AL16" s="227">
        <f>+ประมาณ54US!AK16</f>
        <v>0</v>
      </c>
      <c r="AM16" s="163" t="e">
        <f t="shared" si="13"/>
        <v>#REF!</v>
      </c>
      <c r="AN16" s="164" t="e">
        <f t="shared" si="13"/>
        <v>#REF!</v>
      </c>
      <c r="AO16" s="163" t="e">
        <f t="shared" si="13"/>
        <v>#REF!</v>
      </c>
      <c r="AP16" s="223" t="e">
        <f t="shared" si="13"/>
        <v>#REF!</v>
      </c>
      <c r="AQ16" s="163" t="e">
        <f t="shared" si="3"/>
        <v>#REF!</v>
      </c>
      <c r="AR16" s="163" t="e">
        <f t="shared" si="4"/>
        <v>#REF!</v>
      </c>
      <c r="AS16" s="164" t="e">
        <f t="shared" si="5"/>
        <v>#REF!</v>
      </c>
      <c r="AT16" s="163" t="e">
        <f t="shared" si="6"/>
        <v>#REF!</v>
      </c>
      <c r="AU16" s="163" t="e">
        <f t="shared" si="14"/>
        <v>#REF!</v>
      </c>
      <c r="AV16" s="163" t="e">
        <f t="shared" si="7"/>
        <v>#REF!</v>
      </c>
      <c r="AW16" s="164"/>
      <c r="AX16" s="164">
        <f t="shared" si="8"/>
        <v>8.8097623776124276</v>
      </c>
      <c r="AY16" s="164">
        <f t="shared" si="8"/>
        <v>8.580701034151728</v>
      </c>
      <c r="AZ16" s="164">
        <f t="shared" si="8"/>
        <v>8.8278060908140041</v>
      </c>
      <c r="BA16" s="164">
        <f t="shared" si="8"/>
        <v>8.7460631527180777</v>
      </c>
      <c r="BB16" s="164" t="e">
        <f t="shared" si="8"/>
        <v>#REF!</v>
      </c>
      <c r="BC16" s="164" t="e">
        <f t="shared" si="8"/>
        <v>#REF!</v>
      </c>
      <c r="BD16" s="164" t="e">
        <f t="shared" si="8"/>
        <v>#REF!</v>
      </c>
      <c r="BE16" s="163" t="e">
        <f t="shared" si="8"/>
        <v>#REF!</v>
      </c>
      <c r="BF16" s="163" t="e">
        <f t="shared" si="8"/>
        <v>#REF!</v>
      </c>
      <c r="BG16" s="163" t="e">
        <f t="shared" si="8"/>
        <v>#REF!</v>
      </c>
      <c r="BH16" s="164" t="e">
        <f t="shared" si="15"/>
        <v>#REF!</v>
      </c>
      <c r="BI16" s="163" t="e">
        <f t="shared" si="9"/>
        <v>#REF!</v>
      </c>
      <c r="BJ16" s="163" t="e">
        <f t="shared" si="9"/>
        <v>#REF!</v>
      </c>
      <c r="BK16" s="163" t="e">
        <f t="shared" si="9"/>
        <v>#REF!</v>
      </c>
      <c r="BL16" s="163" t="e">
        <f t="shared" si="9"/>
        <v>#REF!</v>
      </c>
      <c r="BM16" s="163" t="e">
        <f t="shared" si="16"/>
        <v>#REF!</v>
      </c>
      <c r="BN16" s="163" t="e">
        <f t="shared" si="10"/>
        <v>#REF!</v>
      </c>
      <c r="BO16" s="163" t="e">
        <f t="shared" si="10"/>
        <v>#REF!</v>
      </c>
      <c r="BP16" s="163" t="e">
        <f t="shared" si="10"/>
        <v>#REF!</v>
      </c>
      <c r="BQ16" s="165" t="e">
        <f t="shared" si="17"/>
        <v>#REF!</v>
      </c>
      <c r="BR16" s="166" t="e">
        <f t="shared" si="18"/>
        <v>#REF!</v>
      </c>
    </row>
    <row r="17" spans="1:70" ht="17.55" customHeight="1">
      <c r="A17" s="167" t="s">
        <v>23</v>
      </c>
      <c r="B17" s="168">
        <v>14975.61</v>
      </c>
      <c r="C17" s="168">
        <v>13708.46</v>
      </c>
      <c r="D17" s="168">
        <v>15200.28</v>
      </c>
      <c r="E17" s="168">
        <v>18503.96</v>
      </c>
      <c r="F17" s="169" t="e">
        <f>+F14+F15+F16</f>
        <v>#REF!</v>
      </c>
      <c r="G17" s="169" t="e">
        <f>+G14+G15+G16</f>
        <v>#REF!</v>
      </c>
      <c r="H17" s="169" t="e">
        <f>+H14+H15+H16</f>
        <v>#REF!</v>
      </c>
      <c r="I17" s="169" t="e">
        <f>+I14+I15+I16</f>
        <v>#REF!</v>
      </c>
      <c r="J17" s="169" t="e">
        <f t="shared" ref="J17:O17" si="22">+J16+J15+J14</f>
        <v>#REF!</v>
      </c>
      <c r="K17" s="169" t="e">
        <f t="shared" si="22"/>
        <v>#REF!</v>
      </c>
      <c r="L17" s="169" t="e">
        <f t="shared" si="22"/>
        <v>#REF!</v>
      </c>
      <c r="M17" s="169" t="e">
        <f t="shared" si="22"/>
        <v>#REF!</v>
      </c>
      <c r="N17" s="175" t="e">
        <f t="shared" si="22"/>
        <v>#REF!</v>
      </c>
      <c r="O17" s="175" t="e">
        <f t="shared" si="22"/>
        <v>#REF!</v>
      </c>
      <c r="P17" s="175" t="e">
        <f>+P16+P15+P14</f>
        <v>#REF!</v>
      </c>
      <c r="Q17" s="222" t="e">
        <f>+Q16+Q15+Q14</f>
        <v>#REF!</v>
      </c>
      <c r="R17" s="175" t="e">
        <f>+R16+R15+R14</f>
        <v>#REF!</v>
      </c>
      <c r="S17" s="175" t="e">
        <f>+S16+S15+S14</f>
        <v>#REF!</v>
      </c>
      <c r="T17" s="175" t="e">
        <f>+T16+T15+T14</f>
        <v>#REF!</v>
      </c>
      <c r="U17" s="174" t="e">
        <f t="shared" si="11"/>
        <v>#REF!</v>
      </c>
      <c r="V17" s="174" t="e">
        <f t="shared" si="12"/>
        <v>#REF!</v>
      </c>
      <c r="W17" s="172"/>
      <c r="X17" s="173">
        <f t="shared" si="1"/>
        <v>-8.4614249436250066</v>
      </c>
      <c r="Y17" s="173">
        <f t="shared" si="1"/>
        <v>10.882476952188668</v>
      </c>
      <c r="Z17" s="173">
        <f t="shared" si="1"/>
        <v>21.734336472749185</v>
      </c>
      <c r="AA17" s="173" t="e">
        <f t="shared" si="1"/>
        <v>#REF!</v>
      </c>
      <c r="AB17" s="173" t="e">
        <f t="shared" si="1"/>
        <v>#REF!</v>
      </c>
      <c r="AC17" s="341" t="e">
        <f t="shared" si="1"/>
        <v>#REF!</v>
      </c>
      <c r="AD17" s="173" t="e">
        <f t="shared" si="1"/>
        <v>#REF!</v>
      </c>
      <c r="AE17" s="173" t="e">
        <f t="shared" si="1"/>
        <v>#REF!</v>
      </c>
      <c r="AF17" s="173" t="e">
        <f t="shared" si="1"/>
        <v>#REF!</v>
      </c>
      <c r="AG17" s="173" t="e">
        <f t="shared" si="1"/>
        <v>#REF!</v>
      </c>
      <c r="AH17" s="341" t="e">
        <f t="shared" si="2"/>
        <v>#REF!</v>
      </c>
      <c r="AI17" s="228">
        <f>+ประมาณ54US!AH17</f>
        <v>0</v>
      </c>
      <c r="AJ17" s="228">
        <f>+ประมาณ54US!AI17</f>
        <v>0</v>
      </c>
      <c r="AK17" s="228">
        <f>+ประมาณ54US!AJ17</f>
        <v>0</v>
      </c>
      <c r="AL17" s="228">
        <f>+ประมาณ54US!AK17</f>
        <v>0</v>
      </c>
      <c r="AM17" s="341" t="e">
        <f t="shared" si="13"/>
        <v>#REF!</v>
      </c>
      <c r="AN17" s="341" t="e">
        <f t="shared" si="13"/>
        <v>#REF!</v>
      </c>
      <c r="AO17" s="341" t="e">
        <f t="shared" si="13"/>
        <v>#REF!</v>
      </c>
      <c r="AP17" s="224" t="e">
        <f t="shared" si="13"/>
        <v>#REF!</v>
      </c>
      <c r="AQ17" s="341" t="e">
        <f t="shared" si="3"/>
        <v>#REF!</v>
      </c>
      <c r="AR17" s="341" t="e">
        <f>((S17/P17)-1)*100</f>
        <v>#REF!</v>
      </c>
      <c r="AS17" s="341" t="e">
        <f>((T17/P17)-1)*100</f>
        <v>#REF!</v>
      </c>
      <c r="AT17" s="341" t="e">
        <f t="shared" si="6"/>
        <v>#REF!</v>
      </c>
      <c r="AU17" s="173" t="e">
        <f t="shared" si="14"/>
        <v>#REF!</v>
      </c>
      <c r="AV17" s="173" t="e">
        <f t="shared" si="7"/>
        <v>#REF!</v>
      </c>
      <c r="AW17" s="173"/>
      <c r="AX17" s="173">
        <f t="shared" si="8"/>
        <v>25.672114876106022</v>
      </c>
      <c r="AY17" s="173">
        <f t="shared" si="8"/>
        <v>25.157721397678511</v>
      </c>
      <c r="AZ17" s="173">
        <f t="shared" si="8"/>
        <v>25.999628827925825</v>
      </c>
      <c r="BA17" s="173">
        <f t="shared" si="8"/>
        <v>26.576893334850048</v>
      </c>
      <c r="BB17" s="173" t="e">
        <f t="shared" si="8"/>
        <v>#REF!</v>
      </c>
      <c r="BC17" s="173" t="e">
        <f t="shared" si="8"/>
        <v>#REF!</v>
      </c>
      <c r="BD17" s="341" t="e">
        <f t="shared" si="8"/>
        <v>#REF!</v>
      </c>
      <c r="BE17" s="173" t="e">
        <f>+(I17/I$23)*100</f>
        <v>#REF!</v>
      </c>
      <c r="BF17" s="173" t="e">
        <f t="shared" si="8"/>
        <v>#REF!</v>
      </c>
      <c r="BG17" s="173" t="e">
        <f t="shared" si="8"/>
        <v>#REF!</v>
      </c>
      <c r="BH17" s="341" t="e">
        <f t="shared" si="15"/>
        <v>#REF!</v>
      </c>
      <c r="BI17" s="173" t="e">
        <f t="shared" si="9"/>
        <v>#REF!</v>
      </c>
      <c r="BJ17" s="173" t="e">
        <f t="shared" si="9"/>
        <v>#REF!</v>
      </c>
      <c r="BK17" s="173" t="e">
        <f t="shared" si="9"/>
        <v>#REF!</v>
      </c>
      <c r="BL17" s="173" t="e">
        <f t="shared" si="9"/>
        <v>#REF!</v>
      </c>
      <c r="BM17" s="173" t="e">
        <f t="shared" si="16"/>
        <v>#REF!</v>
      </c>
      <c r="BN17" s="341" t="e">
        <f>+(R17/R$23)*100</f>
        <v>#REF!</v>
      </c>
      <c r="BO17" s="341" t="e">
        <f>+(S17/S$23)*100</f>
        <v>#REF!</v>
      </c>
      <c r="BP17" s="341" t="e">
        <f>+(T17/T$23)*100</f>
        <v>#REF!</v>
      </c>
      <c r="BQ17" s="231" t="e">
        <f t="shared" si="17"/>
        <v>#REF!</v>
      </c>
      <c r="BR17" s="342" t="e">
        <f t="shared" si="18"/>
        <v>#REF!</v>
      </c>
    </row>
    <row r="18" spans="1:70" ht="17.55" customHeight="1">
      <c r="A18" s="176" t="s">
        <v>25</v>
      </c>
      <c r="B18" s="161">
        <v>5307.77</v>
      </c>
      <c r="C18" s="161">
        <v>4632.58</v>
      </c>
      <c r="D18" s="161">
        <v>5477.32</v>
      </c>
      <c r="E18" s="161">
        <v>6309.06</v>
      </c>
      <c r="F18" s="161" t="e">
        <f>+#REF!</f>
        <v>#REF!</v>
      </c>
      <c r="G18" s="161" t="e">
        <f>+#REF!</f>
        <v>#REF!</v>
      </c>
      <c r="H18" s="161" t="e">
        <f>+#REF!</f>
        <v>#REF!</v>
      </c>
      <c r="I18" s="161" t="e">
        <f>+#REF!</f>
        <v>#REF!</v>
      </c>
      <c r="J18" s="161" t="e">
        <f>+#REF!</f>
        <v>#REF!</v>
      </c>
      <c r="K18" s="161" t="e">
        <f>+#REF!</f>
        <v>#REF!</v>
      </c>
      <c r="L18" s="161" t="e">
        <f>($L$23*BH18)/100</f>
        <v>#REF!</v>
      </c>
      <c r="M18" s="161" t="e">
        <f>+#REF!</f>
        <v>#REF!</v>
      </c>
      <c r="N18" s="160" t="e">
        <f>+#REF!</f>
        <v>#REF!</v>
      </c>
      <c r="O18" s="160" t="e">
        <f>+#REF!</f>
        <v>#REF!</v>
      </c>
      <c r="P18" s="160" t="e">
        <f>+#REF!</f>
        <v>#REF!</v>
      </c>
      <c r="Q18" s="220" t="e">
        <f>(Q$23*BP18)/100</f>
        <v>#REF!</v>
      </c>
      <c r="R18" s="160" t="e">
        <f>(R$23*BM18)/100</f>
        <v>#REF!</v>
      </c>
      <c r="S18" s="160" t="e">
        <f>+#REF!</f>
        <v>#REF!</v>
      </c>
      <c r="T18" s="160" t="e">
        <f>+#REF!</f>
        <v>#REF!</v>
      </c>
      <c r="U18" s="162" t="e">
        <f t="shared" si="11"/>
        <v>#REF!</v>
      </c>
      <c r="V18" s="162" t="e">
        <f t="shared" si="12"/>
        <v>#REF!</v>
      </c>
      <c r="W18" s="159"/>
      <c r="X18" s="163">
        <f t="shared" si="1"/>
        <v>-12.720784811700591</v>
      </c>
      <c r="Y18" s="163">
        <f t="shared" si="1"/>
        <v>18.234763350012308</v>
      </c>
      <c r="Z18" s="163">
        <f t="shared" si="1"/>
        <v>15.185163547136193</v>
      </c>
      <c r="AA18" s="163" t="e">
        <f t="shared" si="1"/>
        <v>#REF!</v>
      </c>
      <c r="AB18" s="163" t="e">
        <f t="shared" si="1"/>
        <v>#REF!</v>
      </c>
      <c r="AC18" s="164" t="e">
        <f t="shared" si="1"/>
        <v>#REF!</v>
      </c>
      <c r="AD18" s="163" t="e">
        <f t="shared" si="1"/>
        <v>#REF!</v>
      </c>
      <c r="AE18" s="163" t="e">
        <f t="shared" si="1"/>
        <v>#REF!</v>
      </c>
      <c r="AF18" s="163" t="e">
        <f t="shared" si="1"/>
        <v>#REF!</v>
      </c>
      <c r="AG18" s="163" t="e">
        <f t="shared" si="1"/>
        <v>#REF!</v>
      </c>
      <c r="AH18" s="164" t="e">
        <f t="shared" si="2"/>
        <v>#REF!</v>
      </c>
      <c r="AI18" s="227">
        <f>+ประมาณ54US!AH18</f>
        <v>0</v>
      </c>
      <c r="AJ18" s="227">
        <f>+ประมาณ54US!AI18</f>
        <v>0</v>
      </c>
      <c r="AK18" s="227">
        <f>+ประมาณ54US!AJ18</f>
        <v>0</v>
      </c>
      <c r="AL18" s="227">
        <f>+ประมาณ54US!AK18</f>
        <v>0</v>
      </c>
      <c r="AM18" s="163" t="e">
        <f t="shared" si="13"/>
        <v>#REF!</v>
      </c>
      <c r="AN18" s="164" t="e">
        <f t="shared" si="13"/>
        <v>#REF!</v>
      </c>
      <c r="AO18" s="163" t="e">
        <f t="shared" si="13"/>
        <v>#REF!</v>
      </c>
      <c r="AP18" s="223" t="e">
        <f t="shared" si="13"/>
        <v>#REF!</v>
      </c>
      <c r="AQ18" s="163" t="e">
        <f t="shared" si="3"/>
        <v>#REF!</v>
      </c>
      <c r="AR18" s="163" t="e">
        <f t="shared" si="4"/>
        <v>#REF!</v>
      </c>
      <c r="AS18" s="164" t="e">
        <f t="shared" si="5"/>
        <v>#REF!</v>
      </c>
      <c r="AT18" s="163" t="e">
        <f t="shared" si="6"/>
        <v>#REF!</v>
      </c>
      <c r="AU18" s="163" t="e">
        <f t="shared" si="14"/>
        <v>#REF!</v>
      </c>
      <c r="AV18" s="163" t="e">
        <f t="shared" si="7"/>
        <v>#REF!</v>
      </c>
      <c r="AW18" s="163"/>
      <c r="AX18" s="163">
        <f t="shared" si="8"/>
        <v>9.0989069010176724</v>
      </c>
      <c r="AY18" s="163">
        <f t="shared" si="8"/>
        <v>8.5016958135674994</v>
      </c>
      <c r="AZ18" s="163">
        <f t="shared" si="8"/>
        <v>9.3687936651018706</v>
      </c>
      <c r="BA18" s="163">
        <f t="shared" si="8"/>
        <v>9.0615854478267934</v>
      </c>
      <c r="BB18" s="163" t="e">
        <f t="shared" si="8"/>
        <v>#REF!</v>
      </c>
      <c r="BC18" s="163" t="e">
        <f t="shared" si="8"/>
        <v>#REF!</v>
      </c>
      <c r="BD18" s="164" t="e">
        <f t="shared" si="8"/>
        <v>#REF!</v>
      </c>
      <c r="BE18" s="163" t="e">
        <f t="shared" si="8"/>
        <v>#REF!</v>
      </c>
      <c r="BF18" s="163" t="e">
        <f t="shared" si="8"/>
        <v>#REF!</v>
      </c>
      <c r="BG18" s="163" t="e">
        <f t="shared" si="8"/>
        <v>#REF!</v>
      </c>
      <c r="BH18" s="164" t="e">
        <f t="shared" si="15"/>
        <v>#REF!</v>
      </c>
      <c r="BI18" s="163" t="e">
        <f t="shared" si="9"/>
        <v>#REF!</v>
      </c>
      <c r="BJ18" s="163" t="e">
        <f t="shared" si="9"/>
        <v>#REF!</v>
      </c>
      <c r="BK18" s="163" t="e">
        <f t="shared" si="9"/>
        <v>#REF!</v>
      </c>
      <c r="BL18" s="163" t="e">
        <f t="shared" si="9"/>
        <v>#REF!</v>
      </c>
      <c r="BM18" s="163" t="e">
        <f t="shared" si="16"/>
        <v>#REF!</v>
      </c>
      <c r="BN18" s="163" t="e">
        <f t="shared" si="10"/>
        <v>#REF!</v>
      </c>
      <c r="BO18" s="163" t="e">
        <f t="shared" si="10"/>
        <v>#REF!</v>
      </c>
      <c r="BP18" s="163" t="e">
        <f t="shared" si="10"/>
        <v>#REF!</v>
      </c>
      <c r="BQ18" s="165" t="e">
        <f t="shared" si="17"/>
        <v>#REF!</v>
      </c>
      <c r="BR18" s="166" t="e">
        <f t="shared" si="18"/>
        <v>#REF!</v>
      </c>
    </row>
    <row r="19" spans="1:70" ht="17.55" customHeight="1">
      <c r="A19" s="160" t="s">
        <v>27</v>
      </c>
      <c r="B19" s="161">
        <v>4920.42</v>
      </c>
      <c r="C19" s="161">
        <v>4555.42</v>
      </c>
      <c r="D19" s="161">
        <v>5346.5</v>
      </c>
      <c r="E19" s="161">
        <v>6219.54</v>
      </c>
      <c r="F19" s="161" t="e">
        <f>+#REF!</f>
        <v>#REF!</v>
      </c>
      <c r="G19" s="161" t="e">
        <f>+#REF!</f>
        <v>#REF!</v>
      </c>
      <c r="H19" s="161" t="e">
        <f>+#REF!</f>
        <v>#REF!</v>
      </c>
      <c r="I19" s="161" t="e">
        <f>+#REF!</f>
        <v>#REF!</v>
      </c>
      <c r="J19" s="161" t="e">
        <f>+#REF!</f>
        <v>#REF!</v>
      </c>
      <c r="K19" s="161" t="e">
        <f>+#REF!</f>
        <v>#REF!</v>
      </c>
      <c r="L19" s="161" t="e">
        <f>($L$23*BH19)/100</f>
        <v>#REF!</v>
      </c>
      <c r="M19" s="161" t="e">
        <f>+#REF!</f>
        <v>#REF!</v>
      </c>
      <c r="N19" s="160" t="e">
        <f>+#REF!</f>
        <v>#REF!</v>
      </c>
      <c r="O19" s="160" t="e">
        <f>+#REF!</f>
        <v>#REF!</v>
      </c>
      <c r="P19" s="160" t="e">
        <f>+#REF!</f>
        <v>#REF!</v>
      </c>
      <c r="Q19" s="220" t="e">
        <f>(Q$23*BP19)/100</f>
        <v>#REF!</v>
      </c>
      <c r="R19" s="160" t="e">
        <f>(R$23*BM19)/100</f>
        <v>#REF!</v>
      </c>
      <c r="S19" s="160">
        <v>15000</v>
      </c>
      <c r="T19" s="160">
        <v>16000</v>
      </c>
      <c r="U19" s="162" t="e">
        <f t="shared" si="11"/>
        <v>#REF!</v>
      </c>
      <c r="V19" s="162" t="e">
        <f t="shared" si="12"/>
        <v>#REF!</v>
      </c>
      <c r="W19" s="159"/>
      <c r="X19" s="163">
        <f t="shared" si="1"/>
        <v>-7.4180659374606268</v>
      </c>
      <c r="Y19" s="163">
        <f t="shared" si="1"/>
        <v>17.365687466797787</v>
      </c>
      <c r="Z19" s="163">
        <f t="shared" si="1"/>
        <v>16.329187318806703</v>
      </c>
      <c r="AA19" s="163" t="e">
        <f t="shared" si="1"/>
        <v>#REF!</v>
      </c>
      <c r="AB19" s="163" t="e">
        <f t="shared" si="1"/>
        <v>#REF!</v>
      </c>
      <c r="AC19" s="164" t="e">
        <f t="shared" si="1"/>
        <v>#REF!</v>
      </c>
      <c r="AD19" s="163" t="e">
        <f t="shared" si="1"/>
        <v>#REF!</v>
      </c>
      <c r="AE19" s="163" t="e">
        <f t="shared" si="1"/>
        <v>#REF!</v>
      </c>
      <c r="AF19" s="163" t="e">
        <f t="shared" si="1"/>
        <v>#REF!</v>
      </c>
      <c r="AG19" s="163" t="e">
        <f t="shared" si="1"/>
        <v>#REF!</v>
      </c>
      <c r="AH19" s="164" t="e">
        <f t="shared" si="2"/>
        <v>#REF!</v>
      </c>
      <c r="AI19" s="227">
        <f>+ประมาณ54US!AH19</f>
        <v>0</v>
      </c>
      <c r="AJ19" s="227">
        <f>+ประมาณ54US!AI19</f>
        <v>0</v>
      </c>
      <c r="AK19" s="227">
        <f>+ประมาณ54US!AJ19</f>
        <v>0</v>
      </c>
      <c r="AL19" s="227">
        <f>+ประมาณ54US!AK19</f>
        <v>0</v>
      </c>
      <c r="AM19" s="163" t="e">
        <f t="shared" si="13"/>
        <v>#REF!</v>
      </c>
      <c r="AN19" s="164" t="e">
        <f t="shared" si="13"/>
        <v>#REF!</v>
      </c>
      <c r="AO19" s="163" t="e">
        <f t="shared" si="13"/>
        <v>#REF!</v>
      </c>
      <c r="AP19" s="223" t="e">
        <f t="shared" si="13"/>
        <v>#REF!</v>
      </c>
      <c r="AQ19" s="163" t="e">
        <f t="shared" si="3"/>
        <v>#REF!</v>
      </c>
      <c r="AR19" s="163" t="e">
        <f t="shared" si="4"/>
        <v>#REF!</v>
      </c>
      <c r="AS19" s="164" t="e">
        <f t="shared" si="5"/>
        <v>#REF!</v>
      </c>
      <c r="AT19" s="163" t="e">
        <f t="shared" si="6"/>
        <v>#REF!</v>
      </c>
      <c r="AU19" s="163" t="e">
        <f t="shared" si="14"/>
        <v>#REF!</v>
      </c>
      <c r="AV19" s="163" t="e">
        <f t="shared" si="7"/>
        <v>#REF!</v>
      </c>
      <c r="AW19" s="163"/>
      <c r="AX19" s="163">
        <f t="shared" si="8"/>
        <v>8.434887625858952</v>
      </c>
      <c r="AY19" s="163">
        <f t="shared" si="8"/>
        <v>8.3600920314471967</v>
      </c>
      <c r="AZ19" s="163">
        <f t="shared" si="8"/>
        <v>9.1450299289556121</v>
      </c>
      <c r="BA19" s="163">
        <f t="shared" si="8"/>
        <v>8.933009538057437</v>
      </c>
      <c r="BB19" s="163" t="e">
        <f t="shared" si="8"/>
        <v>#REF!</v>
      </c>
      <c r="BC19" s="163" t="e">
        <f t="shared" si="8"/>
        <v>#REF!</v>
      </c>
      <c r="BD19" s="164" t="e">
        <f t="shared" si="8"/>
        <v>#REF!</v>
      </c>
      <c r="BE19" s="163" t="e">
        <f t="shared" si="8"/>
        <v>#REF!</v>
      </c>
      <c r="BF19" s="163" t="e">
        <f t="shared" si="8"/>
        <v>#REF!</v>
      </c>
      <c r="BG19" s="163" t="e">
        <f t="shared" si="8"/>
        <v>#REF!</v>
      </c>
      <c r="BH19" s="164" t="e">
        <f t="shared" si="15"/>
        <v>#REF!</v>
      </c>
      <c r="BI19" s="163" t="e">
        <f t="shared" si="9"/>
        <v>#REF!</v>
      </c>
      <c r="BJ19" s="163" t="e">
        <f t="shared" si="9"/>
        <v>#REF!</v>
      </c>
      <c r="BK19" s="163" t="e">
        <f t="shared" si="9"/>
        <v>#REF!</v>
      </c>
      <c r="BL19" s="163" t="e">
        <f t="shared" si="9"/>
        <v>#REF!</v>
      </c>
      <c r="BM19" s="163" t="e">
        <f t="shared" si="16"/>
        <v>#REF!</v>
      </c>
      <c r="BN19" s="163" t="e">
        <f t="shared" si="10"/>
        <v>#REF!</v>
      </c>
      <c r="BO19" s="163" t="e">
        <f t="shared" si="10"/>
        <v>#REF!</v>
      </c>
      <c r="BP19" s="163" t="e">
        <f t="shared" si="10"/>
        <v>#REF!</v>
      </c>
      <c r="BQ19" s="165" t="e">
        <f t="shared" si="17"/>
        <v>#REF!</v>
      </c>
      <c r="BR19" s="166" t="e">
        <f t="shared" si="18"/>
        <v>#REF!</v>
      </c>
    </row>
    <row r="20" spans="1:70" ht="17.55" customHeight="1">
      <c r="A20" s="177" t="s">
        <v>29</v>
      </c>
      <c r="B20" s="178">
        <v>5040.43</v>
      </c>
      <c r="C20" s="178">
        <v>4676.1000000000058</v>
      </c>
      <c r="D20" s="178">
        <v>5342.75</v>
      </c>
      <c r="E20" s="161">
        <v>5916.97</v>
      </c>
      <c r="F20" s="161" t="e">
        <f>+#REF!</f>
        <v>#REF!</v>
      </c>
      <c r="G20" s="161" t="e">
        <f>+#REF!</f>
        <v>#REF!</v>
      </c>
      <c r="H20" s="161" t="e">
        <f>+#REF!</f>
        <v>#REF!</v>
      </c>
      <c r="I20" s="161" t="e">
        <f>+#REF!</f>
        <v>#REF!</v>
      </c>
      <c r="J20" s="178" t="e">
        <f>+#REF!</f>
        <v>#REF!</v>
      </c>
      <c r="K20" s="178" t="e">
        <f>+#REF!</f>
        <v>#REF!</v>
      </c>
      <c r="L20" s="161" t="e">
        <f>($L$23*BH20)/100</f>
        <v>#REF!</v>
      </c>
      <c r="M20" s="161" t="e">
        <f>+#REF!</f>
        <v>#REF!</v>
      </c>
      <c r="N20" s="160" t="e">
        <f>+#REF!</f>
        <v>#REF!</v>
      </c>
      <c r="O20" s="160" t="e">
        <f>+#REF!</f>
        <v>#REF!</v>
      </c>
      <c r="P20" s="160" t="e">
        <f>+#REF!</f>
        <v>#REF!</v>
      </c>
      <c r="Q20" s="220" t="e">
        <f>(Q$23*BP20)/100</f>
        <v>#REF!</v>
      </c>
      <c r="R20" s="160" t="e">
        <f>(R$23*BM20)/100</f>
        <v>#REF!</v>
      </c>
      <c r="S20" s="160">
        <v>16000</v>
      </c>
      <c r="T20" s="160">
        <v>17000</v>
      </c>
      <c r="U20" s="162" t="e">
        <f t="shared" si="11"/>
        <v>#REF!</v>
      </c>
      <c r="V20" s="162" t="e">
        <f t="shared" si="12"/>
        <v>#REF!</v>
      </c>
      <c r="W20" s="172"/>
      <c r="X20" s="179">
        <f t="shared" si="1"/>
        <v>-7.2281531535998811</v>
      </c>
      <c r="Y20" s="179">
        <f t="shared" si="1"/>
        <v>14.256538568465027</v>
      </c>
      <c r="Z20" s="179">
        <f t="shared" si="1"/>
        <v>10.747648682794452</v>
      </c>
      <c r="AA20" s="179" t="e">
        <f t="shared" si="1"/>
        <v>#REF!</v>
      </c>
      <c r="AB20" s="164" t="e">
        <f t="shared" si="1"/>
        <v>#REF!</v>
      </c>
      <c r="AC20" s="164" t="e">
        <f t="shared" si="1"/>
        <v>#REF!</v>
      </c>
      <c r="AD20" s="164" t="e">
        <f t="shared" si="1"/>
        <v>#REF!</v>
      </c>
      <c r="AE20" s="163" t="e">
        <f t="shared" si="1"/>
        <v>#REF!</v>
      </c>
      <c r="AF20" s="163" t="e">
        <f t="shared" si="1"/>
        <v>#REF!</v>
      </c>
      <c r="AG20" s="163" t="e">
        <f t="shared" si="1"/>
        <v>#REF!</v>
      </c>
      <c r="AH20" s="164" t="e">
        <f t="shared" si="2"/>
        <v>#REF!</v>
      </c>
      <c r="AI20" s="227">
        <f>+ประมาณ54US!AH20</f>
        <v>0</v>
      </c>
      <c r="AJ20" s="227">
        <f>+ประมาณ54US!AI20</f>
        <v>0</v>
      </c>
      <c r="AK20" s="227">
        <f>+ประมาณ54US!AJ20</f>
        <v>0</v>
      </c>
      <c r="AL20" s="227">
        <f>+ประมาณ54US!AK20</f>
        <v>0</v>
      </c>
      <c r="AM20" s="163" t="e">
        <f t="shared" si="13"/>
        <v>#REF!</v>
      </c>
      <c r="AN20" s="164" t="e">
        <f t="shared" si="13"/>
        <v>#REF!</v>
      </c>
      <c r="AO20" s="163" t="e">
        <f t="shared" si="13"/>
        <v>#REF!</v>
      </c>
      <c r="AP20" s="223" t="e">
        <f t="shared" si="13"/>
        <v>#REF!</v>
      </c>
      <c r="AQ20" s="163" t="e">
        <f t="shared" si="3"/>
        <v>#REF!</v>
      </c>
      <c r="AR20" s="163" t="e">
        <f t="shared" si="4"/>
        <v>#REF!</v>
      </c>
      <c r="AS20" s="164" t="e">
        <f t="shared" si="5"/>
        <v>#REF!</v>
      </c>
      <c r="AT20" s="163" t="e">
        <f t="shared" si="6"/>
        <v>#REF!</v>
      </c>
      <c r="AU20" s="163" t="e">
        <f t="shared" si="14"/>
        <v>#REF!</v>
      </c>
      <c r="AV20" s="163" t="e">
        <f t="shared" si="7"/>
        <v>#REF!</v>
      </c>
      <c r="AW20" s="179"/>
      <c r="AX20" s="179">
        <f t="shared" si="8"/>
        <v>8.6406161742307042</v>
      </c>
      <c r="AY20" s="179">
        <f t="shared" si="8"/>
        <v>8.5815635766296605</v>
      </c>
      <c r="AZ20" s="179">
        <f t="shared" si="8"/>
        <v>9.1386156650009536</v>
      </c>
      <c r="BA20" s="179">
        <f t="shared" si="8"/>
        <v>8.498433878775554</v>
      </c>
      <c r="BB20" s="179" t="e">
        <f t="shared" si="8"/>
        <v>#REF!</v>
      </c>
      <c r="BC20" s="164" t="e">
        <f t="shared" si="8"/>
        <v>#REF!</v>
      </c>
      <c r="BD20" s="164" t="e">
        <f t="shared" si="8"/>
        <v>#REF!</v>
      </c>
      <c r="BE20" s="164" t="e">
        <f t="shared" si="8"/>
        <v>#REF!</v>
      </c>
      <c r="BF20" s="163" t="e">
        <f t="shared" si="8"/>
        <v>#REF!</v>
      </c>
      <c r="BG20" s="163" t="e">
        <f t="shared" si="8"/>
        <v>#REF!</v>
      </c>
      <c r="BH20" s="164" t="e">
        <f t="shared" si="15"/>
        <v>#REF!</v>
      </c>
      <c r="BI20" s="163" t="e">
        <f t="shared" si="9"/>
        <v>#REF!</v>
      </c>
      <c r="BJ20" s="163" t="e">
        <f t="shared" si="9"/>
        <v>#REF!</v>
      </c>
      <c r="BK20" s="163" t="e">
        <f t="shared" si="9"/>
        <v>#REF!</v>
      </c>
      <c r="BL20" s="163" t="e">
        <f t="shared" si="9"/>
        <v>#REF!</v>
      </c>
      <c r="BM20" s="163" t="e">
        <f t="shared" si="16"/>
        <v>#REF!</v>
      </c>
      <c r="BN20" s="163" t="e">
        <f t="shared" si="10"/>
        <v>#REF!</v>
      </c>
      <c r="BO20" s="163" t="e">
        <f t="shared" si="10"/>
        <v>#REF!</v>
      </c>
      <c r="BP20" s="163" t="e">
        <f t="shared" si="10"/>
        <v>#REF!</v>
      </c>
      <c r="BQ20" s="165" t="e">
        <f t="shared" si="17"/>
        <v>#REF!</v>
      </c>
      <c r="BR20" s="166" t="e">
        <f t="shared" si="18"/>
        <v>#REF!</v>
      </c>
    </row>
    <row r="21" spans="1:70" ht="17.55" customHeight="1">
      <c r="A21" s="180" t="s">
        <v>30</v>
      </c>
      <c r="B21" s="169">
        <v>15268.62</v>
      </c>
      <c r="C21" s="169">
        <v>13864.1</v>
      </c>
      <c r="D21" s="169">
        <v>16166.57</v>
      </c>
      <c r="E21" s="169">
        <v>18445.57</v>
      </c>
      <c r="F21" s="169" t="e">
        <f>+F18+F19+F20</f>
        <v>#REF!</v>
      </c>
      <c r="G21" s="169" t="e">
        <f>+G18+G19+G20</f>
        <v>#REF!</v>
      </c>
      <c r="H21" s="169" t="e">
        <f>+H18+H19+H20</f>
        <v>#REF!</v>
      </c>
      <c r="I21" s="169" t="e">
        <f>+I18+I19+I20</f>
        <v>#REF!</v>
      </c>
      <c r="J21" s="169" t="e">
        <f t="shared" ref="J21:O21" si="23">+J20+J19+J18</f>
        <v>#REF!</v>
      </c>
      <c r="K21" s="169" t="e">
        <f t="shared" si="23"/>
        <v>#REF!</v>
      </c>
      <c r="L21" s="169" t="e">
        <f t="shared" si="23"/>
        <v>#REF!</v>
      </c>
      <c r="M21" s="169" t="e">
        <f t="shared" si="23"/>
        <v>#REF!</v>
      </c>
      <c r="N21" s="175" t="e">
        <f t="shared" si="23"/>
        <v>#REF!</v>
      </c>
      <c r="O21" s="175" t="e">
        <f t="shared" si="23"/>
        <v>#REF!</v>
      </c>
      <c r="P21" s="175" t="e">
        <f>+P20+P19+P18</f>
        <v>#REF!</v>
      </c>
      <c r="Q21" s="222" t="e">
        <f>+Q20+Q19+Q18</f>
        <v>#REF!</v>
      </c>
      <c r="R21" s="175" t="e">
        <f>+R20+R19+R18</f>
        <v>#REF!</v>
      </c>
      <c r="S21" s="175" t="e">
        <f>+S20+S19+S18</f>
        <v>#REF!</v>
      </c>
      <c r="T21" s="175" t="e">
        <f>+T20+T19+T18</f>
        <v>#REF!</v>
      </c>
      <c r="U21" s="174" t="e">
        <f t="shared" si="11"/>
        <v>#REF!</v>
      </c>
      <c r="V21" s="174" t="e">
        <f t="shared" si="12"/>
        <v>#REF!</v>
      </c>
      <c r="W21" s="172"/>
      <c r="X21" s="181">
        <f t="shared" ref="X21:AG27" si="24">((C21/B21)-1)*100</f>
        <v>-9.1987357076147021</v>
      </c>
      <c r="Y21" s="181">
        <f t="shared" si="24"/>
        <v>16.607424932018656</v>
      </c>
      <c r="Z21" s="181">
        <f t="shared" si="24"/>
        <v>14.096991507784274</v>
      </c>
      <c r="AA21" s="181" t="e">
        <f t="shared" si="24"/>
        <v>#REF!</v>
      </c>
      <c r="AB21" s="341" t="e">
        <f t="shared" si="24"/>
        <v>#REF!</v>
      </c>
      <c r="AC21" s="341" t="e">
        <f t="shared" si="24"/>
        <v>#REF!</v>
      </c>
      <c r="AD21" s="341" t="e">
        <f t="shared" si="24"/>
        <v>#REF!</v>
      </c>
      <c r="AE21" s="173" t="e">
        <f t="shared" si="24"/>
        <v>#REF!</v>
      </c>
      <c r="AF21" s="173" t="e">
        <f t="shared" si="24"/>
        <v>#REF!</v>
      </c>
      <c r="AG21" s="173" t="e">
        <f t="shared" si="24"/>
        <v>#REF!</v>
      </c>
      <c r="AH21" s="341" t="e">
        <f t="shared" si="2"/>
        <v>#REF!</v>
      </c>
      <c r="AI21" s="228">
        <f>+ประมาณ54US!AH21</f>
        <v>0</v>
      </c>
      <c r="AJ21" s="228">
        <f>+ประมาณ54US!AI21</f>
        <v>0</v>
      </c>
      <c r="AK21" s="228">
        <f>+ประมาณ54US!AJ21</f>
        <v>0</v>
      </c>
      <c r="AL21" s="233">
        <f>+ประมาณ54US!AK21</f>
        <v>0</v>
      </c>
      <c r="AM21" s="341" t="e">
        <f t="shared" si="13"/>
        <v>#REF!</v>
      </c>
      <c r="AN21" s="341" t="e">
        <f t="shared" si="13"/>
        <v>#REF!</v>
      </c>
      <c r="AO21" s="341" t="e">
        <f t="shared" si="13"/>
        <v>#REF!</v>
      </c>
      <c r="AP21" s="224" t="e">
        <f t="shared" si="13"/>
        <v>#REF!</v>
      </c>
      <c r="AQ21" s="341" t="e">
        <f t="shared" si="3"/>
        <v>#REF!</v>
      </c>
      <c r="AR21" s="341" t="e">
        <f>((S21/P21)-1)*100</f>
        <v>#REF!</v>
      </c>
      <c r="AS21" s="341" t="e">
        <f>((T21/P21)-1)*100</f>
        <v>#REF!</v>
      </c>
      <c r="AT21" s="341" t="e">
        <f t="shared" si="6"/>
        <v>#REF!</v>
      </c>
      <c r="AU21" s="173" t="e">
        <f t="shared" si="14"/>
        <v>#REF!</v>
      </c>
      <c r="AV21" s="173" t="e">
        <f t="shared" si="7"/>
        <v>#REF!</v>
      </c>
      <c r="AW21" s="181"/>
      <c r="AX21" s="181">
        <f t="shared" ref="AX21:BG25" si="25">+(B21/B$23)*100</f>
        <v>26.174410701107327</v>
      </c>
      <c r="AY21" s="181">
        <f t="shared" si="25"/>
        <v>25.443351421644351</v>
      </c>
      <c r="AZ21" s="181">
        <f t="shared" si="25"/>
        <v>27.652439259058436</v>
      </c>
      <c r="BA21" s="181">
        <f t="shared" si="25"/>
        <v>26.493028864659784</v>
      </c>
      <c r="BB21" s="181" t="e">
        <f t="shared" si="25"/>
        <v>#REF!</v>
      </c>
      <c r="BC21" s="341" t="e">
        <f t="shared" si="25"/>
        <v>#REF!</v>
      </c>
      <c r="BD21" s="341" t="e">
        <f t="shared" si="25"/>
        <v>#REF!</v>
      </c>
      <c r="BE21" s="341" t="e">
        <f t="shared" si="25"/>
        <v>#REF!</v>
      </c>
      <c r="BF21" s="173" t="e">
        <f t="shared" si="25"/>
        <v>#REF!</v>
      </c>
      <c r="BG21" s="173" t="e">
        <f t="shared" si="25"/>
        <v>#REF!</v>
      </c>
      <c r="BH21" s="341" t="e">
        <f t="shared" si="15"/>
        <v>#REF!</v>
      </c>
      <c r="BI21" s="341" t="e">
        <f t="shared" si="9"/>
        <v>#REF!</v>
      </c>
      <c r="BJ21" s="341" t="e">
        <f t="shared" si="9"/>
        <v>#REF!</v>
      </c>
      <c r="BK21" s="341" t="e">
        <f t="shared" si="9"/>
        <v>#REF!</v>
      </c>
      <c r="BL21" s="341" t="e">
        <f t="shared" si="9"/>
        <v>#REF!</v>
      </c>
      <c r="BM21" s="341" t="e">
        <f t="shared" si="16"/>
        <v>#REF!</v>
      </c>
      <c r="BN21" s="341" t="e">
        <f t="shared" ref="BN21:BP23" si="26">+(R21/R$23)*100</f>
        <v>#REF!</v>
      </c>
      <c r="BO21" s="341" t="e">
        <f t="shared" si="26"/>
        <v>#REF!</v>
      </c>
      <c r="BP21" s="341" t="e">
        <f t="shared" si="26"/>
        <v>#REF!</v>
      </c>
      <c r="BQ21" s="231" t="e">
        <f t="shared" si="17"/>
        <v>#REF!</v>
      </c>
      <c r="BR21" s="342" t="e">
        <f t="shared" si="18"/>
        <v>#REF!</v>
      </c>
    </row>
    <row r="22" spans="1:70" ht="17.55" customHeight="1">
      <c r="A22" s="182" t="s">
        <v>31</v>
      </c>
      <c r="B22" s="183">
        <f t="shared" ref="B22:S22" si="27">+B21+B17</f>
        <v>30244.230000000003</v>
      </c>
      <c r="C22" s="183">
        <f t="shared" si="27"/>
        <v>27572.559999999998</v>
      </c>
      <c r="D22" s="183">
        <f t="shared" si="27"/>
        <v>31366.85</v>
      </c>
      <c r="E22" s="183">
        <f t="shared" si="27"/>
        <v>36949.53</v>
      </c>
      <c r="F22" s="183" t="e">
        <f t="shared" si="27"/>
        <v>#REF!</v>
      </c>
      <c r="G22" s="183" t="e">
        <f t="shared" si="27"/>
        <v>#REF!</v>
      </c>
      <c r="H22" s="183" t="e">
        <f t="shared" si="27"/>
        <v>#REF!</v>
      </c>
      <c r="I22" s="183" t="e">
        <f t="shared" si="27"/>
        <v>#REF!</v>
      </c>
      <c r="J22" s="183" t="e">
        <f t="shared" si="27"/>
        <v>#REF!</v>
      </c>
      <c r="K22" s="183" t="e">
        <f t="shared" si="27"/>
        <v>#REF!</v>
      </c>
      <c r="L22" s="183" t="e">
        <f t="shared" si="27"/>
        <v>#REF!</v>
      </c>
      <c r="M22" s="183" t="e">
        <f t="shared" si="27"/>
        <v>#REF!</v>
      </c>
      <c r="N22" s="184" t="e">
        <f t="shared" si="27"/>
        <v>#REF!</v>
      </c>
      <c r="O22" s="184" t="e">
        <f t="shared" si="27"/>
        <v>#REF!</v>
      </c>
      <c r="P22" s="175" t="e">
        <f t="shared" si="27"/>
        <v>#REF!</v>
      </c>
      <c r="Q22" s="222" t="e">
        <f t="shared" si="27"/>
        <v>#REF!</v>
      </c>
      <c r="R22" s="175" t="e">
        <f t="shared" si="27"/>
        <v>#REF!</v>
      </c>
      <c r="S22" s="175" t="e">
        <f t="shared" si="27"/>
        <v>#REF!</v>
      </c>
      <c r="T22" s="175" t="e">
        <f>+T21+T17</f>
        <v>#REF!</v>
      </c>
      <c r="U22" s="174" t="e">
        <f t="shared" si="11"/>
        <v>#REF!</v>
      </c>
      <c r="V22" s="174" t="e">
        <f t="shared" si="12"/>
        <v>#REF!</v>
      </c>
      <c r="W22" s="172"/>
      <c r="X22" s="181">
        <f t="shared" si="24"/>
        <v>-8.8336519064958985</v>
      </c>
      <c r="Y22" s="181">
        <f t="shared" si="24"/>
        <v>13.761108870558258</v>
      </c>
      <c r="Z22" s="181">
        <f t="shared" si="24"/>
        <v>17.798025622592007</v>
      </c>
      <c r="AA22" s="181" t="e">
        <f t="shared" si="24"/>
        <v>#REF!</v>
      </c>
      <c r="AB22" s="341" t="e">
        <f t="shared" si="24"/>
        <v>#REF!</v>
      </c>
      <c r="AC22" s="341" t="e">
        <f t="shared" si="24"/>
        <v>#REF!</v>
      </c>
      <c r="AD22" s="341" t="e">
        <f t="shared" si="24"/>
        <v>#REF!</v>
      </c>
      <c r="AE22" s="173" t="e">
        <f t="shared" si="24"/>
        <v>#REF!</v>
      </c>
      <c r="AF22" s="173" t="e">
        <f t="shared" si="24"/>
        <v>#REF!</v>
      </c>
      <c r="AG22" s="173" t="e">
        <f t="shared" si="24"/>
        <v>#REF!</v>
      </c>
      <c r="AH22" s="341" t="e">
        <f t="shared" si="2"/>
        <v>#REF!</v>
      </c>
      <c r="AI22" s="229">
        <f>+ประมาณ54US!AH22</f>
        <v>0</v>
      </c>
      <c r="AJ22" s="229">
        <f>+ประมาณ54US!AI22</f>
        <v>0</v>
      </c>
      <c r="AK22" s="229">
        <f>+ประมาณ54US!AJ22</f>
        <v>0</v>
      </c>
      <c r="AL22" s="234">
        <f>+ประมาณ54US!AK22</f>
        <v>0</v>
      </c>
      <c r="AM22" s="341" t="e">
        <f t="shared" si="13"/>
        <v>#REF!</v>
      </c>
      <c r="AN22" s="341" t="e">
        <f t="shared" si="13"/>
        <v>#REF!</v>
      </c>
      <c r="AO22" s="341" t="e">
        <f t="shared" si="13"/>
        <v>#REF!</v>
      </c>
      <c r="AP22" s="224" t="e">
        <f t="shared" si="13"/>
        <v>#REF!</v>
      </c>
      <c r="AQ22" s="341" t="e">
        <f t="shared" si="3"/>
        <v>#REF!</v>
      </c>
      <c r="AR22" s="341" t="e">
        <f>((S22/P22)-1)*100</f>
        <v>#REF!</v>
      </c>
      <c r="AS22" s="341" t="e">
        <f>((T22/P22)-1)*100</f>
        <v>#REF!</v>
      </c>
      <c r="AT22" s="341" t="e">
        <f t="shared" si="6"/>
        <v>#REF!</v>
      </c>
      <c r="AU22" s="173" t="e">
        <f t="shared" si="14"/>
        <v>#REF!</v>
      </c>
      <c r="AV22" s="173" t="e">
        <f t="shared" si="7"/>
        <v>#REF!</v>
      </c>
      <c r="AW22" s="181"/>
      <c r="AX22" s="181">
        <f t="shared" si="25"/>
        <v>51.846525577213356</v>
      </c>
      <c r="AY22" s="181">
        <f t="shared" si="25"/>
        <v>50.601072819322859</v>
      </c>
      <c r="AZ22" s="181">
        <f t="shared" si="25"/>
        <v>53.652068086984258</v>
      </c>
      <c r="BA22" s="181">
        <f t="shared" si="25"/>
        <v>53.069922199509833</v>
      </c>
      <c r="BB22" s="181" t="e">
        <f t="shared" si="25"/>
        <v>#REF!</v>
      </c>
      <c r="BC22" s="341" t="e">
        <f t="shared" si="25"/>
        <v>#REF!</v>
      </c>
      <c r="BD22" s="341" t="e">
        <f t="shared" si="25"/>
        <v>#REF!</v>
      </c>
      <c r="BE22" s="341" t="e">
        <f t="shared" si="25"/>
        <v>#REF!</v>
      </c>
      <c r="BF22" s="173" t="e">
        <f t="shared" si="25"/>
        <v>#REF!</v>
      </c>
      <c r="BG22" s="173" t="e">
        <f t="shared" si="25"/>
        <v>#REF!</v>
      </c>
      <c r="BH22" s="341" t="e">
        <f t="shared" si="15"/>
        <v>#REF!</v>
      </c>
      <c r="BI22" s="341" t="e">
        <f t="shared" si="9"/>
        <v>#REF!</v>
      </c>
      <c r="BJ22" s="341" t="e">
        <f t="shared" si="9"/>
        <v>#REF!</v>
      </c>
      <c r="BK22" s="341" t="e">
        <f t="shared" si="9"/>
        <v>#REF!</v>
      </c>
      <c r="BL22" s="341" t="e">
        <f t="shared" si="9"/>
        <v>#REF!</v>
      </c>
      <c r="BM22" s="341" t="e">
        <f t="shared" si="16"/>
        <v>#REF!</v>
      </c>
      <c r="BN22" s="341" t="e">
        <f t="shared" si="26"/>
        <v>#REF!</v>
      </c>
      <c r="BO22" s="341" t="e">
        <f t="shared" si="26"/>
        <v>#REF!</v>
      </c>
      <c r="BP22" s="341" t="e">
        <f t="shared" si="26"/>
        <v>#REF!</v>
      </c>
      <c r="BQ22" s="232" t="e">
        <f t="shared" si="17"/>
        <v>#REF!</v>
      </c>
      <c r="BR22" s="342" t="e">
        <f t="shared" si="18"/>
        <v>#REF!</v>
      </c>
    </row>
    <row r="23" spans="1:70" ht="17.55" customHeight="1">
      <c r="A23" s="185" t="s">
        <v>204</v>
      </c>
      <c r="B23" s="186">
        <f t="shared" ref="B23:H23" si="28">+B8+B12+B17+B21</f>
        <v>58334.15</v>
      </c>
      <c r="C23" s="186">
        <f t="shared" si="28"/>
        <v>54490.07</v>
      </c>
      <c r="D23" s="186">
        <f t="shared" si="28"/>
        <v>58463.45</v>
      </c>
      <c r="E23" s="186">
        <f t="shared" si="28"/>
        <v>69624.239999999991</v>
      </c>
      <c r="F23" s="186" t="e">
        <f>+F8+F12+F17+F21</f>
        <v>#REF!</v>
      </c>
      <c r="G23" s="186" t="e">
        <f>+G8+G12+G17+G21</f>
        <v>#REF!</v>
      </c>
      <c r="H23" s="186" t="e">
        <f t="shared" si="28"/>
        <v>#REF!</v>
      </c>
      <c r="I23" s="186" t="e">
        <f>+I8+I12+I17+I21</f>
        <v>#REF!</v>
      </c>
      <c r="J23" s="186" t="e">
        <f>+J8+J12+J17+J21</f>
        <v>#REF!</v>
      </c>
      <c r="K23" s="186" t="e">
        <f>+K8+K12+K17+K21</f>
        <v>#REF!</v>
      </c>
      <c r="L23" s="186">
        <v>145962</v>
      </c>
      <c r="M23" s="186" t="e">
        <f>+M8+M12+M17+M21</f>
        <v>#REF!</v>
      </c>
      <c r="N23" s="185" t="e">
        <f>+N8+N12+N17+N21</f>
        <v>#REF!</v>
      </c>
      <c r="O23" s="185" t="e">
        <f>+O8+O12+O17+O21</f>
        <v>#REF!</v>
      </c>
      <c r="P23" s="248" t="e">
        <f>+P8+P12+P17+P21</f>
        <v>#REF!</v>
      </c>
      <c r="Q23" s="249" t="e">
        <f>(+ประมาณ54US!S23*(100+AP23)/100)</f>
        <v>#REF!</v>
      </c>
      <c r="R23" s="248" t="e">
        <f>(P23*(100+AQ23)/100)</f>
        <v>#REF!</v>
      </c>
      <c r="S23" s="248" t="e">
        <f>+S8+S12+S17+S21</f>
        <v>#REF!</v>
      </c>
      <c r="T23" s="250" t="e">
        <f>+T8+T12+T17+T21</f>
        <v>#REF!</v>
      </c>
      <c r="U23" s="187" t="e">
        <f>(S23*(100+AT23)/100)</f>
        <v>#REF!</v>
      </c>
      <c r="V23" s="187" t="e">
        <f>(S23*(100+AU23))/100</f>
        <v>#REF!</v>
      </c>
      <c r="W23" s="172"/>
      <c r="X23" s="188">
        <f t="shared" si="24"/>
        <v>-6.5897591719430215</v>
      </c>
      <c r="Y23" s="188">
        <f t="shared" si="24"/>
        <v>7.2919341083613975</v>
      </c>
      <c r="Z23" s="188">
        <f t="shared" si="24"/>
        <v>19.090200800671187</v>
      </c>
      <c r="AA23" s="188" t="e">
        <f t="shared" si="24"/>
        <v>#REF!</v>
      </c>
      <c r="AB23" s="189" t="e">
        <f t="shared" si="24"/>
        <v>#REF!</v>
      </c>
      <c r="AC23" s="189" t="e">
        <f t="shared" si="24"/>
        <v>#REF!</v>
      </c>
      <c r="AD23" s="189" t="e">
        <f t="shared" si="24"/>
        <v>#REF!</v>
      </c>
      <c r="AE23" s="189" t="e">
        <f t="shared" si="24"/>
        <v>#REF!</v>
      </c>
      <c r="AF23" s="189" t="e">
        <f t="shared" si="24"/>
        <v>#REF!</v>
      </c>
      <c r="AG23" s="189" t="e">
        <f t="shared" si="24"/>
        <v>#REF!</v>
      </c>
      <c r="AH23" s="343" t="e">
        <f t="shared" si="2"/>
        <v>#REF!</v>
      </c>
      <c r="AI23" s="190">
        <f>+ประมาณ54US!AH23</f>
        <v>0</v>
      </c>
      <c r="AJ23" s="190">
        <f>+ประมาณ54US!AI23</f>
        <v>0</v>
      </c>
      <c r="AK23" s="190">
        <f>+ประมาณ54US!AJ23</f>
        <v>0</v>
      </c>
      <c r="AL23" s="235">
        <f>+ประมาณ54US!AK23</f>
        <v>0</v>
      </c>
      <c r="AM23" s="343" t="e">
        <f t="shared" si="13"/>
        <v>#REF!</v>
      </c>
      <c r="AN23" s="343" t="e">
        <f>((O23/N23)-1)*100</f>
        <v>#REF!</v>
      </c>
      <c r="AO23" s="343" t="e">
        <f>((P23/O23)-1)*100</f>
        <v>#REF!</v>
      </c>
      <c r="AP23" s="225">
        <v>15</v>
      </c>
      <c r="AQ23" s="343">
        <v>15</v>
      </c>
      <c r="AR23" s="343" t="e">
        <f>((S23/P23)-1)*100</f>
        <v>#REF!</v>
      </c>
      <c r="AS23" s="343" t="e">
        <f>((T23/P23)-1)*100</f>
        <v>#REF!</v>
      </c>
      <c r="AT23" s="343">
        <v>10</v>
      </c>
      <c r="AU23" s="343" t="e">
        <f t="shared" si="14"/>
        <v>#REF!</v>
      </c>
      <c r="AV23" s="343" t="e">
        <f t="shared" si="7"/>
        <v>#REF!</v>
      </c>
      <c r="AW23" s="181"/>
      <c r="AX23" s="189">
        <f t="shared" si="25"/>
        <v>100</v>
      </c>
      <c r="AY23" s="189">
        <f t="shared" si="25"/>
        <v>100</v>
      </c>
      <c r="AZ23" s="189">
        <f t="shared" si="25"/>
        <v>100</v>
      </c>
      <c r="BA23" s="189">
        <f t="shared" si="25"/>
        <v>100</v>
      </c>
      <c r="BB23" s="189" t="e">
        <f t="shared" si="25"/>
        <v>#REF!</v>
      </c>
      <c r="BC23" s="189" t="e">
        <f t="shared" si="25"/>
        <v>#REF!</v>
      </c>
      <c r="BD23" s="189" t="e">
        <f t="shared" si="25"/>
        <v>#REF!</v>
      </c>
      <c r="BE23" s="189" t="e">
        <f t="shared" si="25"/>
        <v>#REF!</v>
      </c>
      <c r="BF23" s="189" t="e">
        <f t="shared" si="25"/>
        <v>#REF!</v>
      </c>
      <c r="BG23" s="189" t="e">
        <f t="shared" si="25"/>
        <v>#REF!</v>
      </c>
      <c r="BH23" s="343" t="e">
        <f>AVERAGE(BD23:BF23)</f>
        <v>#REF!</v>
      </c>
      <c r="BI23" s="343" t="e">
        <f t="shared" si="9"/>
        <v>#REF!</v>
      </c>
      <c r="BJ23" s="343" t="e">
        <f t="shared" si="9"/>
        <v>#REF!</v>
      </c>
      <c r="BK23" s="343" t="e">
        <f t="shared" si="9"/>
        <v>#REF!</v>
      </c>
      <c r="BL23" s="343" t="e">
        <f t="shared" si="9"/>
        <v>#REF!</v>
      </c>
      <c r="BM23" s="343" t="e">
        <f t="shared" si="16"/>
        <v>#REF!</v>
      </c>
      <c r="BN23" s="343" t="e">
        <f t="shared" si="26"/>
        <v>#REF!</v>
      </c>
      <c r="BO23" s="343" t="e">
        <f t="shared" si="26"/>
        <v>#REF!</v>
      </c>
      <c r="BP23" s="343" t="e">
        <f t="shared" si="26"/>
        <v>#REF!</v>
      </c>
      <c r="BQ23" s="192" t="e">
        <f t="shared" si="17"/>
        <v>#REF!</v>
      </c>
      <c r="BR23" s="344" t="e">
        <f t="shared" si="18"/>
        <v>#REF!</v>
      </c>
    </row>
    <row r="24" spans="1:70" ht="17.55" hidden="1" customHeight="1">
      <c r="A24" s="185" t="s">
        <v>32</v>
      </c>
      <c r="B24" s="186">
        <f t="shared" ref="B24:O24" si="29">+B5+B6+B7+B9+B10+B11+B14+B15+B16+B18+B19</f>
        <v>53293.72</v>
      </c>
      <c r="C24" s="186">
        <f t="shared" si="29"/>
        <v>49813.969999999994</v>
      </c>
      <c r="D24" s="186">
        <f t="shared" si="29"/>
        <v>53120.7</v>
      </c>
      <c r="E24" s="186">
        <f t="shared" si="29"/>
        <v>63707.27</v>
      </c>
      <c r="F24" s="186" t="e">
        <f t="shared" si="29"/>
        <v>#REF!</v>
      </c>
      <c r="G24" s="186" t="e">
        <f t="shared" si="29"/>
        <v>#REF!</v>
      </c>
      <c r="H24" s="186" t="e">
        <f t="shared" si="29"/>
        <v>#REF!</v>
      </c>
      <c r="I24" s="186" t="e">
        <f t="shared" si="29"/>
        <v>#REF!</v>
      </c>
      <c r="J24" s="186" t="e">
        <f t="shared" si="29"/>
        <v>#REF!</v>
      </c>
      <c r="K24" s="186" t="e">
        <f t="shared" si="29"/>
        <v>#REF!</v>
      </c>
      <c r="L24" s="186" t="e">
        <f t="shared" si="29"/>
        <v>#REF!</v>
      </c>
      <c r="M24" s="186" t="e">
        <f t="shared" si="29"/>
        <v>#REF!</v>
      </c>
      <c r="N24" s="186" t="e">
        <f t="shared" si="29"/>
        <v>#REF!</v>
      </c>
      <c r="O24" s="186" t="e">
        <f t="shared" si="29"/>
        <v>#REF!</v>
      </c>
      <c r="P24" s="246"/>
      <c r="Q24" s="246"/>
      <c r="R24" s="246"/>
      <c r="S24" s="246"/>
      <c r="T24" s="246"/>
      <c r="U24" s="169"/>
      <c r="V24" s="169"/>
      <c r="W24" s="172"/>
      <c r="X24" s="191">
        <f t="shared" si="24"/>
        <v>-6.5293809476989146</v>
      </c>
      <c r="Y24" s="191">
        <f t="shared" si="24"/>
        <v>6.6381579303958382</v>
      </c>
      <c r="Z24" s="191">
        <f t="shared" si="24"/>
        <v>19.929274275376653</v>
      </c>
      <c r="AA24" s="191" t="e">
        <f t="shared" si="24"/>
        <v>#REF!</v>
      </c>
      <c r="AB24" s="192" t="e">
        <f t="shared" si="24"/>
        <v>#REF!</v>
      </c>
      <c r="AC24" s="192" t="e">
        <f t="shared" si="24"/>
        <v>#REF!</v>
      </c>
      <c r="AD24" s="192" t="e">
        <f t="shared" si="24"/>
        <v>#REF!</v>
      </c>
      <c r="AE24" s="192" t="e">
        <f t="shared" si="24"/>
        <v>#REF!</v>
      </c>
      <c r="AF24" s="192" t="e">
        <f t="shared" si="24"/>
        <v>#REF!</v>
      </c>
      <c r="AG24" s="192" t="e">
        <f t="shared" si="24"/>
        <v>#REF!</v>
      </c>
      <c r="AH24" s="345" t="e">
        <f>((M24/K24)-1)*100</f>
        <v>#REF!</v>
      </c>
      <c r="AI24" s="345" t="e">
        <f>((#REF!/M24)-1)*100</f>
        <v>#REF!</v>
      </c>
      <c r="AJ24" s="345" t="e">
        <f>((#REF!/M24)-1)*100</f>
        <v>#REF!</v>
      </c>
      <c r="AK24" s="345" t="e">
        <f>((#REF!/M24)-1)*100</f>
        <v>#REF!</v>
      </c>
      <c r="AL24" s="193" t="e">
        <f>((#REF!/M24)-1)*100</f>
        <v>#REF!</v>
      </c>
      <c r="AM24" s="345" t="e">
        <f t="shared" ref="AM24:AN27" si="30">((N24/M24)-1)*100</f>
        <v>#REF!</v>
      </c>
      <c r="AN24" s="346" t="e">
        <f t="shared" si="30"/>
        <v>#REF!</v>
      </c>
      <c r="AO24" s="346"/>
      <c r="AP24" s="346"/>
      <c r="AQ24" s="346"/>
      <c r="AR24" s="346"/>
      <c r="AS24" s="346"/>
      <c r="AT24" s="346"/>
      <c r="AU24" s="346"/>
      <c r="AV24" s="346"/>
      <c r="AW24" s="194"/>
      <c r="AX24" s="192">
        <f t="shared" si="25"/>
        <v>91.359383825769285</v>
      </c>
      <c r="AY24" s="192">
        <f t="shared" si="25"/>
        <v>91.418436423370338</v>
      </c>
      <c r="AZ24" s="192">
        <f t="shared" si="25"/>
        <v>90.861384334999045</v>
      </c>
      <c r="BA24" s="192">
        <f t="shared" si="25"/>
        <v>91.501566121224457</v>
      </c>
      <c r="BB24" s="192" t="e">
        <f t="shared" si="25"/>
        <v>#REF!</v>
      </c>
      <c r="BC24" s="192" t="e">
        <f t="shared" si="25"/>
        <v>#REF!</v>
      </c>
      <c r="BD24" s="192" t="e">
        <f t="shared" si="25"/>
        <v>#REF!</v>
      </c>
      <c r="BE24" s="192" t="e">
        <f t="shared" si="25"/>
        <v>#REF!</v>
      </c>
      <c r="BF24" s="192" t="e">
        <f t="shared" si="25"/>
        <v>#REF!</v>
      </c>
      <c r="BG24" s="192" t="e">
        <f t="shared" si="25"/>
        <v>#REF!</v>
      </c>
      <c r="BH24" s="345" t="e">
        <f>AVERAGE(BD24:BF24)</f>
        <v>#REF!</v>
      </c>
      <c r="BI24" s="345" t="e">
        <f t="shared" ref="BI24:BK26" si="31">+(M24/M$23)*100</f>
        <v>#REF!</v>
      </c>
      <c r="BJ24" s="345" t="e">
        <f t="shared" si="31"/>
        <v>#REF!</v>
      </c>
      <c r="BK24" s="345" t="e">
        <f t="shared" si="31"/>
        <v>#REF!</v>
      </c>
      <c r="BL24" s="345" t="e">
        <f>+(#REF!/#REF!)*100</f>
        <v>#REF!</v>
      </c>
      <c r="BM24" s="345" t="e">
        <f>AVERAGE(BK24,BI24,BJ24)</f>
        <v>#REF!</v>
      </c>
      <c r="BN24" s="347"/>
      <c r="BO24" s="347"/>
      <c r="BP24" s="347"/>
      <c r="BQ24" s="347"/>
    </row>
    <row r="25" spans="1:70" ht="17.55" hidden="1" customHeight="1">
      <c r="A25" s="185" t="s">
        <v>32</v>
      </c>
      <c r="B25" s="195">
        <f t="shared" ref="B25:J25" si="32">+B23-B24</f>
        <v>5040.43</v>
      </c>
      <c r="C25" s="195">
        <f t="shared" si="32"/>
        <v>4676.1000000000058</v>
      </c>
      <c r="D25" s="195">
        <f t="shared" si="32"/>
        <v>5342.75</v>
      </c>
      <c r="E25" s="195">
        <f t="shared" si="32"/>
        <v>5916.9699999999939</v>
      </c>
      <c r="F25" s="195" t="e">
        <f t="shared" si="32"/>
        <v>#REF!</v>
      </c>
      <c r="G25" s="195" t="e">
        <f t="shared" si="32"/>
        <v>#REF!</v>
      </c>
      <c r="H25" s="195" t="e">
        <f t="shared" si="32"/>
        <v>#REF!</v>
      </c>
      <c r="I25" s="195" t="e">
        <f t="shared" si="32"/>
        <v>#REF!</v>
      </c>
      <c r="J25" s="195" t="e">
        <f t="shared" si="32"/>
        <v>#REF!</v>
      </c>
      <c r="K25" s="195" t="e">
        <f>+K23-K24</f>
        <v>#REF!</v>
      </c>
      <c r="L25" s="195" t="e">
        <f>+L23-L24</f>
        <v>#REF!</v>
      </c>
      <c r="M25" s="195" t="e">
        <f>+M23-M24</f>
        <v>#REF!</v>
      </c>
      <c r="N25" s="195" t="e">
        <f>+N23-N24</f>
        <v>#REF!</v>
      </c>
      <c r="O25" s="195" t="e">
        <f>+O23-O24</f>
        <v>#REF!</v>
      </c>
      <c r="P25" s="246"/>
      <c r="Q25" s="246"/>
      <c r="R25" s="246"/>
      <c r="S25" s="246"/>
      <c r="T25" s="246"/>
      <c r="U25" s="169"/>
      <c r="V25" s="169"/>
      <c r="W25" s="172"/>
      <c r="X25" s="191">
        <f t="shared" si="24"/>
        <v>-7.2281531535998811</v>
      </c>
      <c r="Y25" s="191">
        <f t="shared" si="24"/>
        <v>14.256538568465027</v>
      </c>
      <c r="Z25" s="191">
        <f t="shared" si="24"/>
        <v>10.747648682794321</v>
      </c>
      <c r="AA25" s="191" t="e">
        <f t="shared" si="24"/>
        <v>#REF!</v>
      </c>
      <c r="AB25" s="192" t="e">
        <f t="shared" si="24"/>
        <v>#REF!</v>
      </c>
      <c r="AC25" s="192" t="e">
        <f t="shared" si="24"/>
        <v>#REF!</v>
      </c>
      <c r="AD25" s="192" t="e">
        <f t="shared" si="24"/>
        <v>#REF!</v>
      </c>
      <c r="AE25" s="192" t="e">
        <f t="shared" si="24"/>
        <v>#REF!</v>
      </c>
      <c r="AF25" s="192" t="e">
        <f t="shared" si="24"/>
        <v>#REF!</v>
      </c>
      <c r="AG25" s="192" t="e">
        <f t="shared" si="24"/>
        <v>#REF!</v>
      </c>
      <c r="AH25" s="345" t="e">
        <f>((M25/K25)-1)*100</f>
        <v>#REF!</v>
      </c>
      <c r="AI25" s="345" t="e">
        <f>((#REF!/M25)-1)*100</f>
        <v>#REF!</v>
      </c>
      <c r="AJ25" s="345" t="e">
        <f>((#REF!/M25)-1)*100</f>
        <v>#REF!</v>
      </c>
      <c r="AK25" s="345" t="e">
        <f>((#REF!/M25)-1)*100</f>
        <v>#REF!</v>
      </c>
      <c r="AL25" s="193" t="e">
        <f>((#REF!/M25)-1)*100</f>
        <v>#REF!</v>
      </c>
      <c r="AM25" s="345" t="e">
        <f t="shared" si="30"/>
        <v>#REF!</v>
      </c>
      <c r="AN25" s="345" t="e">
        <f t="shared" si="30"/>
        <v>#REF!</v>
      </c>
      <c r="AO25" s="347"/>
      <c r="AP25" s="347"/>
      <c r="AQ25" s="347"/>
      <c r="AR25" s="347"/>
      <c r="AS25" s="347"/>
      <c r="AT25" s="347"/>
      <c r="AU25" s="347"/>
      <c r="AV25" s="347"/>
      <c r="AW25" s="194"/>
      <c r="AX25" s="192">
        <f t="shared" si="25"/>
        <v>8.6406161742307042</v>
      </c>
      <c r="AY25" s="192">
        <f t="shared" si="25"/>
        <v>8.5815635766296605</v>
      </c>
      <c r="AZ25" s="192">
        <f t="shared" si="25"/>
        <v>9.1386156650009536</v>
      </c>
      <c r="BA25" s="192">
        <f t="shared" si="25"/>
        <v>8.4984338787755451</v>
      </c>
      <c r="BB25" s="192" t="e">
        <f t="shared" si="25"/>
        <v>#REF!</v>
      </c>
      <c r="BC25" s="192" t="e">
        <f t="shared" si="25"/>
        <v>#REF!</v>
      </c>
      <c r="BD25" s="192" t="e">
        <f t="shared" si="25"/>
        <v>#REF!</v>
      </c>
      <c r="BE25" s="192" t="e">
        <f t="shared" si="25"/>
        <v>#REF!</v>
      </c>
      <c r="BF25" s="192" t="e">
        <f t="shared" si="25"/>
        <v>#REF!</v>
      </c>
      <c r="BG25" s="192" t="e">
        <f t="shared" si="25"/>
        <v>#REF!</v>
      </c>
      <c r="BH25" s="345" t="e">
        <f>AVERAGE(BD25:BF25)</f>
        <v>#REF!</v>
      </c>
      <c r="BI25" s="345" t="e">
        <f t="shared" si="31"/>
        <v>#REF!</v>
      </c>
      <c r="BJ25" s="345" t="e">
        <f t="shared" si="31"/>
        <v>#REF!</v>
      </c>
      <c r="BK25" s="345" t="e">
        <f t="shared" si="31"/>
        <v>#REF!</v>
      </c>
      <c r="BL25" s="345" t="e">
        <f>+(#REF!/#REF!)*100</f>
        <v>#REF!</v>
      </c>
      <c r="BM25" s="345" t="e">
        <f>AVERAGE(BK25,BI25,BJ25)</f>
        <v>#REF!</v>
      </c>
      <c r="BN25" s="347"/>
      <c r="BO25" s="347"/>
      <c r="BP25" s="347"/>
      <c r="BQ25" s="347"/>
    </row>
    <row r="26" spans="1:70" ht="17.55" hidden="1" customHeight="1">
      <c r="A26" s="185" t="s">
        <v>21</v>
      </c>
      <c r="B26" s="183">
        <f t="shared" ref="B26:S26" si="33">+B5+B6+B7+B9+B10+B11+B14+B15</f>
        <v>37926.43</v>
      </c>
      <c r="C26" s="183">
        <f t="shared" si="33"/>
        <v>35950.339999999997</v>
      </c>
      <c r="D26" s="183">
        <f t="shared" si="33"/>
        <v>37135.839999999997</v>
      </c>
      <c r="E26" s="183">
        <f t="shared" si="33"/>
        <v>45089.29</v>
      </c>
      <c r="F26" s="183" t="e">
        <f t="shared" si="33"/>
        <v>#REF!</v>
      </c>
      <c r="G26" s="183" t="e">
        <f t="shared" si="33"/>
        <v>#REF!</v>
      </c>
      <c r="H26" s="183" t="e">
        <f t="shared" si="33"/>
        <v>#REF!</v>
      </c>
      <c r="I26" s="183" t="e">
        <f t="shared" si="33"/>
        <v>#REF!</v>
      </c>
      <c r="J26" s="183" t="e">
        <f t="shared" si="33"/>
        <v>#REF!</v>
      </c>
      <c r="K26" s="183" t="e">
        <f t="shared" si="33"/>
        <v>#REF!</v>
      </c>
      <c r="L26" s="183" t="e">
        <f t="shared" si="33"/>
        <v>#REF!</v>
      </c>
      <c r="M26" s="183" t="e">
        <f t="shared" si="33"/>
        <v>#REF!</v>
      </c>
      <c r="N26" s="183" t="e">
        <f t="shared" si="33"/>
        <v>#REF!</v>
      </c>
      <c r="O26" s="183" t="e">
        <f t="shared" si="33"/>
        <v>#REF!</v>
      </c>
      <c r="P26" s="246" t="e">
        <f t="shared" si="33"/>
        <v>#REF!</v>
      </c>
      <c r="Q26" s="246" t="e">
        <f t="shared" si="33"/>
        <v>#REF!</v>
      </c>
      <c r="R26" s="246" t="e">
        <f t="shared" si="33"/>
        <v>#REF!</v>
      </c>
      <c r="S26" s="246" t="e">
        <f t="shared" si="33"/>
        <v>#REF!</v>
      </c>
      <c r="T26" s="246" t="e">
        <f>+T5+T6+T7+T9+T10+T11+T14+T15</f>
        <v>#REF!</v>
      </c>
      <c r="U26" s="169"/>
      <c r="V26" s="169"/>
      <c r="W26" s="172"/>
      <c r="X26" s="191">
        <f t="shared" si="24"/>
        <v>-5.2103243041857761</v>
      </c>
      <c r="Y26" s="191">
        <f t="shared" si="24"/>
        <v>3.2976044176494579</v>
      </c>
      <c r="Z26" s="191">
        <f t="shared" si="24"/>
        <v>21.417180815083235</v>
      </c>
      <c r="AA26" s="191" t="e">
        <f t="shared" si="24"/>
        <v>#REF!</v>
      </c>
      <c r="AB26" s="192" t="e">
        <f t="shared" si="24"/>
        <v>#REF!</v>
      </c>
      <c r="AC26" s="192" t="e">
        <f t="shared" si="24"/>
        <v>#REF!</v>
      </c>
      <c r="AD26" s="192" t="e">
        <f t="shared" si="24"/>
        <v>#REF!</v>
      </c>
      <c r="AE26" s="192" t="e">
        <f t="shared" si="24"/>
        <v>#REF!</v>
      </c>
      <c r="AF26" s="192" t="e">
        <f t="shared" si="24"/>
        <v>#REF!</v>
      </c>
      <c r="AG26" s="192" t="e">
        <f t="shared" si="24"/>
        <v>#REF!</v>
      </c>
      <c r="AH26" s="345" t="e">
        <f>((M26/K26)-1)*100</f>
        <v>#REF!</v>
      </c>
      <c r="AI26" s="345" t="e">
        <f>((#REF!/M26)-1)*100</f>
        <v>#REF!</v>
      </c>
      <c r="AJ26" s="345" t="e">
        <f>((#REF!/M26)-1)*100</f>
        <v>#REF!</v>
      </c>
      <c r="AK26" s="345" t="e">
        <f>((#REF!/M26)-1)*100</f>
        <v>#REF!</v>
      </c>
      <c r="AL26" s="193" t="e">
        <f>((#REF!/M26)-1)*100</f>
        <v>#REF!</v>
      </c>
      <c r="AM26" s="345" t="e">
        <f t="shared" si="30"/>
        <v>#REF!</v>
      </c>
      <c r="AN26" s="345" t="e">
        <f t="shared" si="30"/>
        <v>#REF!</v>
      </c>
      <c r="AO26" s="345" t="e">
        <f>((P26/O26)-1)*100</f>
        <v>#REF!</v>
      </c>
      <c r="AP26" s="345"/>
      <c r="AQ26" s="345" t="e">
        <f>((R26/P26)-1)*100</f>
        <v>#REF!</v>
      </c>
      <c r="AR26" s="345" t="e">
        <f>((S26/P26)-1)*100</f>
        <v>#REF!</v>
      </c>
      <c r="AS26" s="345" t="e">
        <f>((T26/P26)-1)*100</f>
        <v>#REF!</v>
      </c>
      <c r="AT26" s="347"/>
      <c r="AU26" s="347"/>
      <c r="AV26" s="347"/>
      <c r="AW26" s="194"/>
      <c r="AX26" s="194"/>
      <c r="AY26" s="194"/>
      <c r="AZ26" s="194"/>
      <c r="BA26" s="194"/>
      <c r="BB26" s="194"/>
      <c r="BC26" s="194"/>
      <c r="BD26" s="194"/>
      <c r="BE26" s="194"/>
      <c r="BF26" s="194"/>
      <c r="BG26" s="194"/>
      <c r="BH26" s="347"/>
      <c r="BI26" s="345" t="e">
        <f t="shared" si="31"/>
        <v>#REF!</v>
      </c>
      <c r="BJ26" s="345" t="e">
        <f t="shared" si="31"/>
        <v>#REF!</v>
      </c>
      <c r="BK26" s="345" t="e">
        <f t="shared" si="31"/>
        <v>#REF!</v>
      </c>
      <c r="BL26" s="345" t="e">
        <f>+(P26/P$23)*100</f>
        <v>#REF!</v>
      </c>
      <c r="BM26" s="345" t="e">
        <f>AVERAGE(BL26,BJ26,BK26)</f>
        <v>#REF!</v>
      </c>
      <c r="BN26" s="345"/>
      <c r="BO26" s="345" t="e">
        <f>+(S26/S$23)*100</f>
        <v>#REF!</v>
      </c>
      <c r="BP26" s="345" t="e">
        <f>+(T26/T$23)*100</f>
        <v>#REF!</v>
      </c>
      <c r="BQ26" s="347"/>
    </row>
    <row r="27" spans="1:70" ht="17.55" hidden="1" customHeight="1">
      <c r="A27" s="185" t="s">
        <v>205</v>
      </c>
      <c r="B27" s="186">
        <f t="shared" ref="B27:S27" si="34">+B23-B26</f>
        <v>20407.72</v>
      </c>
      <c r="C27" s="186">
        <f t="shared" si="34"/>
        <v>18539.730000000003</v>
      </c>
      <c r="D27" s="186">
        <f t="shared" si="34"/>
        <v>21327.61</v>
      </c>
      <c r="E27" s="186">
        <f t="shared" si="34"/>
        <v>24534.94999999999</v>
      </c>
      <c r="F27" s="186" t="e">
        <f t="shared" si="34"/>
        <v>#REF!</v>
      </c>
      <c r="G27" s="186" t="e">
        <f t="shared" si="34"/>
        <v>#REF!</v>
      </c>
      <c r="H27" s="186" t="e">
        <f t="shared" si="34"/>
        <v>#REF!</v>
      </c>
      <c r="I27" s="186" t="e">
        <f t="shared" si="34"/>
        <v>#REF!</v>
      </c>
      <c r="J27" s="186" t="e">
        <f t="shared" si="34"/>
        <v>#REF!</v>
      </c>
      <c r="K27" s="186" t="e">
        <f t="shared" si="34"/>
        <v>#REF!</v>
      </c>
      <c r="L27" s="186" t="e">
        <f t="shared" si="34"/>
        <v>#REF!</v>
      </c>
      <c r="M27" s="186" t="e">
        <f t="shared" si="34"/>
        <v>#REF!</v>
      </c>
      <c r="N27" s="186" t="e">
        <f t="shared" si="34"/>
        <v>#REF!</v>
      </c>
      <c r="O27" s="195" t="e">
        <f t="shared" si="34"/>
        <v>#REF!</v>
      </c>
      <c r="P27" s="247" t="e">
        <f t="shared" si="34"/>
        <v>#REF!</v>
      </c>
      <c r="Q27" s="247" t="e">
        <f t="shared" si="34"/>
        <v>#REF!</v>
      </c>
      <c r="R27" s="247" t="e">
        <f t="shared" si="34"/>
        <v>#REF!</v>
      </c>
      <c r="S27" s="247" t="e">
        <f t="shared" si="34"/>
        <v>#REF!</v>
      </c>
      <c r="T27" s="247" t="e">
        <f>+T23-T26</f>
        <v>#REF!</v>
      </c>
      <c r="U27" s="169"/>
      <c r="V27" s="169"/>
      <c r="W27" s="172"/>
      <c r="X27" s="191">
        <f t="shared" si="24"/>
        <v>-9.1533498107578826</v>
      </c>
      <c r="Y27" s="191">
        <f t="shared" si="24"/>
        <v>15.037327943826572</v>
      </c>
      <c r="Z27" s="191">
        <f t="shared" si="24"/>
        <v>15.03844078169092</v>
      </c>
      <c r="AA27" s="191" t="e">
        <f t="shared" si="24"/>
        <v>#REF!</v>
      </c>
      <c r="AB27" s="192" t="e">
        <f t="shared" si="24"/>
        <v>#REF!</v>
      </c>
      <c r="AC27" s="192" t="e">
        <f t="shared" si="24"/>
        <v>#REF!</v>
      </c>
      <c r="AD27" s="192" t="e">
        <f t="shared" si="24"/>
        <v>#REF!</v>
      </c>
      <c r="AE27" s="192" t="e">
        <f t="shared" si="24"/>
        <v>#REF!</v>
      </c>
      <c r="AF27" s="192" t="e">
        <f t="shared" si="24"/>
        <v>#REF!</v>
      </c>
      <c r="AG27" s="192" t="e">
        <f t="shared" si="24"/>
        <v>#REF!</v>
      </c>
      <c r="AH27" s="345" t="e">
        <f>((M27/K27)-1)*100</f>
        <v>#REF!</v>
      </c>
      <c r="AI27" s="345" t="e">
        <f>((#REF!/M27)-1)*100</f>
        <v>#REF!</v>
      </c>
      <c r="AJ27" s="345" t="e">
        <f>((#REF!/M27)-1)*100</f>
        <v>#REF!</v>
      </c>
      <c r="AK27" s="345" t="e">
        <f>((#REF!/M27)-1)*100</f>
        <v>#REF!</v>
      </c>
      <c r="AL27" s="193" t="e">
        <f>((#REF!/M27)-1)*100</f>
        <v>#REF!</v>
      </c>
      <c r="AM27" s="345" t="e">
        <f t="shared" si="30"/>
        <v>#REF!</v>
      </c>
      <c r="AN27" s="348" t="e">
        <f t="shared" si="30"/>
        <v>#REF!</v>
      </c>
      <c r="AO27" s="348" t="e">
        <f>((P27/O27)-1)*100</f>
        <v>#REF!</v>
      </c>
      <c r="AP27" s="348"/>
      <c r="AQ27" s="348" t="e">
        <f>((R27/P27)-1)*100</f>
        <v>#REF!</v>
      </c>
      <c r="AR27" s="348" t="e">
        <f>((S27/P27)-1)*100</f>
        <v>#REF!</v>
      </c>
      <c r="AS27" s="348" t="e">
        <f>((T27/P27)-1)*100</f>
        <v>#REF!</v>
      </c>
      <c r="AT27" s="347"/>
      <c r="AU27" s="347"/>
      <c r="AV27" s="347"/>
      <c r="AW27" s="194"/>
      <c r="AX27" s="194"/>
      <c r="AY27" s="194"/>
      <c r="AZ27" s="194"/>
      <c r="BA27" s="194"/>
      <c r="BB27" s="194"/>
      <c r="BC27" s="194"/>
      <c r="BD27" s="194"/>
      <c r="BE27" s="194"/>
      <c r="BF27" s="194"/>
      <c r="BG27" s="194"/>
      <c r="BH27" s="347"/>
      <c r="BI27" s="345" t="e">
        <f>+(M27/M$23)*100</f>
        <v>#REF!</v>
      </c>
      <c r="BJ27" s="345" t="e">
        <f>+(N27/N$23)*100</f>
        <v>#REF!</v>
      </c>
      <c r="BK27" s="345" t="e">
        <f>+(O27/O$23)*100</f>
        <v>#REF!</v>
      </c>
      <c r="BL27" s="345" t="e">
        <f>+(P27/P$23)*100</f>
        <v>#REF!</v>
      </c>
      <c r="BM27" s="345" t="e">
        <f>AVERAGE(BL27,BJ27,BK27)</f>
        <v>#REF!</v>
      </c>
      <c r="BN27" s="345"/>
      <c r="BO27" s="345" t="e">
        <f>+(S27/S$23)*100</f>
        <v>#REF!</v>
      </c>
      <c r="BP27" s="345" t="e">
        <f>+(T27/T$23)*100</f>
        <v>#REF!</v>
      </c>
      <c r="BQ27" s="347"/>
    </row>
    <row r="28" spans="1:70" ht="17.55" customHeight="1">
      <c r="A28" s="175" t="s">
        <v>206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245"/>
      <c r="Q28" s="245"/>
      <c r="R28" s="349" t="e">
        <f>((+ประมาณ54US!S23/+ประมาณ54US!P23)-1)*100</f>
        <v>#REF!</v>
      </c>
      <c r="S28" s="349" t="e">
        <f>((+ประมาณ54US!T23/+ประมาณ54US!P23)-1)*100</f>
        <v>#REF!</v>
      </c>
      <c r="T28" s="349" t="e">
        <f>((+ประมาณ54US!U23/+ประมาณ54US!P23)-1)*100</f>
        <v>#REF!</v>
      </c>
      <c r="U28" s="230" t="e">
        <f>((+U23/+T23)-1)*100</f>
        <v>#REF!</v>
      </c>
      <c r="V28" s="230" t="e">
        <f>((+V23/+T23)-1)*100</f>
        <v>#REF!</v>
      </c>
      <c r="W28" s="172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347"/>
      <c r="AI28" s="347"/>
      <c r="AJ28" s="347"/>
      <c r="AK28" s="347"/>
      <c r="AL28" s="196"/>
      <c r="AM28" s="347"/>
      <c r="AP28" s="226">
        <v>15</v>
      </c>
      <c r="AW28" s="194"/>
      <c r="AX28" s="194"/>
      <c r="AY28" s="194"/>
      <c r="AZ28" s="194"/>
      <c r="BA28" s="194"/>
      <c r="BB28" s="194"/>
      <c r="BC28" s="194"/>
      <c r="BD28" s="194"/>
      <c r="BE28" s="194"/>
      <c r="BF28" s="194"/>
      <c r="BG28" s="194"/>
      <c r="BH28" s="347"/>
      <c r="BI28" s="347"/>
      <c r="BJ28" s="347"/>
      <c r="BK28" s="347"/>
      <c r="BL28" s="347"/>
      <c r="BM28" s="347"/>
      <c r="BN28" s="347"/>
      <c r="BO28" s="347"/>
      <c r="BP28" s="347"/>
      <c r="BQ28" s="347"/>
    </row>
    <row r="29" spans="1:70" ht="17.55" customHeight="1">
      <c r="A29" s="175"/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245"/>
      <c r="Q29" s="245"/>
      <c r="R29" s="245"/>
      <c r="S29" s="245"/>
      <c r="T29" s="245"/>
      <c r="U29" s="169"/>
      <c r="V29" s="169"/>
      <c r="W29" s="172"/>
      <c r="X29" s="194"/>
      <c r="Y29" s="194"/>
      <c r="Z29" s="194"/>
      <c r="AA29" s="194"/>
      <c r="AB29" s="194"/>
      <c r="AC29" s="194"/>
      <c r="AD29" s="194"/>
      <c r="AE29" s="194"/>
      <c r="AF29" s="194"/>
      <c r="AG29" s="194"/>
      <c r="AH29" s="347"/>
      <c r="AI29" s="347"/>
      <c r="AJ29" s="347"/>
      <c r="AK29" s="347"/>
      <c r="AL29" s="196"/>
      <c r="AM29" s="347"/>
      <c r="AN29" s="347"/>
      <c r="AO29" s="347"/>
      <c r="AP29" s="347"/>
      <c r="AQ29" s="347"/>
      <c r="AR29" s="347"/>
      <c r="AS29" s="347"/>
      <c r="AT29" s="347"/>
      <c r="AU29" s="347"/>
      <c r="AV29" s="347"/>
      <c r="AW29" s="194"/>
      <c r="AX29" s="194"/>
      <c r="AY29" s="194"/>
      <c r="AZ29" s="194"/>
      <c r="BA29" s="194"/>
      <c r="BB29" s="194"/>
      <c r="BC29" s="194"/>
      <c r="BD29" s="194"/>
      <c r="BE29" s="194"/>
      <c r="BF29" s="194"/>
      <c r="BG29" s="194"/>
      <c r="BH29" s="347"/>
      <c r="BI29" s="347"/>
      <c r="BJ29" s="347"/>
      <c r="BK29" s="347"/>
      <c r="BL29" s="347"/>
      <c r="BM29" s="347"/>
      <c r="BN29" s="347"/>
      <c r="BO29" s="347"/>
      <c r="BP29" s="347"/>
      <c r="BQ29" s="347"/>
    </row>
    <row r="30" spans="1:70" ht="18" customHeight="1">
      <c r="A30" s="180" t="s">
        <v>207</v>
      </c>
      <c r="K30" s="197"/>
      <c r="L30" s="197"/>
      <c r="M30" s="197"/>
      <c r="N30" s="197"/>
      <c r="O30" s="197"/>
      <c r="P30" s="198"/>
      <c r="Q30" s="198"/>
      <c r="R30" s="198"/>
      <c r="S30" s="199"/>
      <c r="T30" s="198"/>
      <c r="U30" s="198"/>
      <c r="V30" s="198"/>
      <c r="AJ30" s="165"/>
      <c r="AK30" s="165"/>
      <c r="AL30" s="165"/>
      <c r="AM30" s="165"/>
      <c r="AN30" s="165"/>
      <c r="AO30" s="165"/>
      <c r="AP30" s="165"/>
      <c r="AQ30" s="165"/>
      <c r="AR30" s="165"/>
      <c r="AS30" s="165"/>
      <c r="AT30" s="165"/>
      <c r="AU30" s="165"/>
      <c r="AV30" s="165"/>
    </row>
    <row r="31" spans="1:70" ht="17.55" customHeight="1">
      <c r="A31" s="180" t="s">
        <v>208</v>
      </c>
      <c r="M31" s="200"/>
      <c r="N31" s="201"/>
      <c r="O31" s="161"/>
      <c r="P31" s="202"/>
      <c r="Q31" s="202"/>
      <c r="R31" s="202"/>
      <c r="S31" s="202"/>
      <c r="T31" s="202"/>
      <c r="U31" s="202"/>
      <c r="V31" s="202"/>
      <c r="AF31" s="203"/>
      <c r="AG31" s="203"/>
      <c r="AH31" s="403" t="s">
        <v>156</v>
      </c>
      <c r="AI31" s="403"/>
      <c r="AJ31" s="403"/>
      <c r="AK31" s="403"/>
      <c r="AL31" s="403"/>
      <c r="AM31" s="403"/>
      <c r="AN31" s="204" t="s">
        <v>209</v>
      </c>
      <c r="AO31" s="204"/>
      <c r="AP31" s="301"/>
      <c r="AQ31" s="403" t="s">
        <v>210</v>
      </c>
      <c r="AR31" s="403"/>
      <c r="AS31" s="403"/>
      <c r="AT31" s="203"/>
      <c r="AU31" s="203"/>
      <c r="AV31" s="203"/>
      <c r="BI31" s="203"/>
    </row>
    <row r="32" spans="1:70" ht="17.55" customHeight="1">
      <c r="A32" s="180"/>
      <c r="M32" s="200"/>
      <c r="N32" s="201"/>
      <c r="O32" s="161"/>
      <c r="P32" s="169"/>
      <c r="Q32" s="169"/>
      <c r="R32" s="169"/>
      <c r="S32" s="169"/>
      <c r="T32" s="169"/>
      <c r="U32" s="169"/>
      <c r="V32" s="169"/>
      <c r="AF32" s="203"/>
      <c r="AG32" s="203"/>
      <c r="AH32" s="301" t="s">
        <v>159</v>
      </c>
      <c r="AI32" s="204"/>
      <c r="AJ32" s="205"/>
      <c r="AK32" s="205"/>
      <c r="AL32" s="205"/>
      <c r="AM32" s="206" t="s">
        <v>160</v>
      </c>
      <c r="AN32" s="206" t="s">
        <v>160</v>
      </c>
      <c r="AO32" s="207" t="s">
        <v>161</v>
      </c>
      <c r="AP32" s="206" t="s">
        <v>160</v>
      </c>
      <c r="AQ32" s="206" t="s">
        <v>160</v>
      </c>
      <c r="AR32" s="207" t="s">
        <v>161</v>
      </c>
      <c r="AS32" s="301" t="s">
        <v>159</v>
      </c>
      <c r="AT32" s="203"/>
      <c r="AU32" s="203"/>
      <c r="AV32" s="203"/>
      <c r="BI32" s="208"/>
    </row>
    <row r="33" spans="1:45" ht="17.55" hidden="1" customHeight="1">
      <c r="A33" s="180" t="s">
        <v>162</v>
      </c>
      <c r="O33" s="209"/>
      <c r="P33" s="157"/>
      <c r="Q33" s="157"/>
      <c r="R33" s="157"/>
      <c r="S33" s="157"/>
      <c r="T33" s="157"/>
      <c r="U33" s="157"/>
      <c r="V33" s="157"/>
      <c r="AH33" s="210">
        <v>15</v>
      </c>
      <c r="AI33" s="211"/>
      <c r="AJ33" s="211"/>
      <c r="AK33" s="211"/>
      <c r="AL33" s="211"/>
      <c r="AM33" s="212" t="e">
        <f>+$P$23*(100+AH33)/100</f>
        <v>#REF!</v>
      </c>
      <c r="AN33" s="212" t="e">
        <f>+T26</f>
        <v>#REF!</v>
      </c>
      <c r="AO33" s="212" t="e">
        <f>+AN33/8</f>
        <v>#REF!</v>
      </c>
      <c r="AP33" s="212"/>
      <c r="AQ33" s="212" t="e">
        <f t="shared" ref="AQ33:AQ39" si="35">+AM33-AN33</f>
        <v>#REF!</v>
      </c>
      <c r="AR33" s="212" t="e">
        <f>+AQ33/4</f>
        <v>#REF!</v>
      </c>
      <c r="AS33" s="213" t="e">
        <f>((AQ33/$P$27)-1)*100</f>
        <v>#REF!</v>
      </c>
    </row>
    <row r="34" spans="1:45" ht="17.55" hidden="1" customHeight="1">
      <c r="A34" s="185" t="s">
        <v>32</v>
      </c>
      <c r="B34" s="186">
        <f t="shared" ref="B34:T34" si="36">+B23/12</f>
        <v>4861.1791666666668</v>
      </c>
      <c r="C34" s="186">
        <f t="shared" si="36"/>
        <v>4540.8391666666666</v>
      </c>
      <c r="D34" s="186">
        <f t="shared" si="36"/>
        <v>4871.9541666666664</v>
      </c>
      <c r="E34" s="186">
        <f t="shared" si="36"/>
        <v>5802.0199999999995</v>
      </c>
      <c r="F34" s="186" t="e">
        <f t="shared" si="36"/>
        <v>#REF!</v>
      </c>
      <c r="G34" s="186" t="e">
        <f t="shared" si="36"/>
        <v>#REF!</v>
      </c>
      <c r="H34" s="186" t="e">
        <f t="shared" si="36"/>
        <v>#REF!</v>
      </c>
      <c r="I34" s="186" t="e">
        <f t="shared" si="36"/>
        <v>#REF!</v>
      </c>
      <c r="J34" s="186" t="e">
        <f t="shared" si="36"/>
        <v>#REF!</v>
      </c>
      <c r="K34" s="186" t="e">
        <f t="shared" si="36"/>
        <v>#REF!</v>
      </c>
      <c r="L34" s="186">
        <f t="shared" si="36"/>
        <v>12163.5</v>
      </c>
      <c r="M34" s="186" t="e">
        <f t="shared" si="36"/>
        <v>#REF!</v>
      </c>
      <c r="N34" s="186" t="e">
        <f t="shared" si="36"/>
        <v>#REF!</v>
      </c>
      <c r="O34" s="186" t="e">
        <f t="shared" si="36"/>
        <v>#REF!</v>
      </c>
      <c r="P34" s="186" t="e">
        <f t="shared" si="36"/>
        <v>#REF!</v>
      </c>
      <c r="Q34" s="186" t="e">
        <f t="shared" si="36"/>
        <v>#REF!</v>
      </c>
      <c r="R34" s="186" t="e">
        <f t="shared" si="36"/>
        <v>#REF!</v>
      </c>
      <c r="S34" s="186" t="e">
        <f t="shared" si="36"/>
        <v>#REF!</v>
      </c>
      <c r="T34" s="186" t="e">
        <f t="shared" si="36"/>
        <v>#REF!</v>
      </c>
      <c r="U34" s="169"/>
      <c r="V34" s="169"/>
      <c r="AC34" s="175"/>
      <c r="AF34" s="208"/>
      <c r="AG34" s="208"/>
      <c r="AH34" s="214">
        <v>18</v>
      </c>
      <c r="AI34" s="204"/>
      <c r="AJ34" s="205"/>
      <c r="AK34" s="205"/>
      <c r="AL34" s="205"/>
      <c r="AM34" s="215" t="e">
        <f t="shared" ref="AM34:AM39" si="37">+$P$23*(100+AH34)/100</f>
        <v>#REF!</v>
      </c>
      <c r="AN34" s="215" t="e">
        <f t="shared" ref="AN34:AN39" si="38">+AN33</f>
        <v>#REF!</v>
      </c>
      <c r="AO34" s="215" t="e">
        <f t="shared" ref="AO34:AO39" si="39">+AN34/8</f>
        <v>#REF!</v>
      </c>
      <c r="AP34" s="215"/>
      <c r="AQ34" s="215" t="e">
        <f t="shared" si="35"/>
        <v>#REF!</v>
      </c>
      <c r="AR34" s="215" t="e">
        <f t="shared" ref="AR34:AR39" si="40">+AQ34/4</f>
        <v>#REF!</v>
      </c>
      <c r="AS34" s="216" t="e">
        <f t="shared" ref="AS34:AS39" si="41">((AQ34/$P$27)-1)*100</f>
        <v>#REF!</v>
      </c>
    </row>
    <row r="35" spans="1:45" ht="18" hidden="1" customHeight="1">
      <c r="A35" s="185" t="s">
        <v>28</v>
      </c>
      <c r="B35" s="186">
        <f t="shared" ref="B35:N35" si="42">+B24/11</f>
        <v>4844.8836363636365</v>
      </c>
      <c r="C35" s="186">
        <f t="shared" si="42"/>
        <v>4528.5427272727266</v>
      </c>
      <c r="D35" s="186">
        <f t="shared" si="42"/>
        <v>4829.1545454545449</v>
      </c>
      <c r="E35" s="186">
        <f t="shared" si="42"/>
        <v>5791.57</v>
      </c>
      <c r="F35" s="186" t="e">
        <f t="shared" si="42"/>
        <v>#REF!</v>
      </c>
      <c r="G35" s="186" t="e">
        <f t="shared" si="42"/>
        <v>#REF!</v>
      </c>
      <c r="H35" s="186" t="e">
        <f t="shared" si="42"/>
        <v>#REF!</v>
      </c>
      <c r="I35" s="186" t="e">
        <f t="shared" si="42"/>
        <v>#REF!</v>
      </c>
      <c r="J35" s="186" t="e">
        <f t="shared" si="42"/>
        <v>#REF!</v>
      </c>
      <c r="K35" s="186" t="e">
        <f>+K24/12</f>
        <v>#REF!</v>
      </c>
      <c r="L35" s="186" t="e">
        <f t="shared" si="42"/>
        <v>#REF!</v>
      </c>
      <c r="M35" s="186" t="e">
        <f t="shared" si="42"/>
        <v>#REF!</v>
      </c>
      <c r="N35" s="186" t="e">
        <f t="shared" si="42"/>
        <v>#REF!</v>
      </c>
      <c r="O35" s="186" t="e">
        <f>+O24/11</f>
        <v>#REF!</v>
      </c>
      <c r="P35" s="169"/>
      <c r="Q35" s="169"/>
      <c r="R35" s="169"/>
      <c r="S35" s="169"/>
      <c r="T35" s="169"/>
      <c r="U35" s="169"/>
      <c r="V35" s="169"/>
      <c r="AC35" s="175"/>
      <c r="AF35" s="208"/>
      <c r="AG35" s="208"/>
      <c r="AH35" s="214"/>
      <c r="AI35" s="204"/>
      <c r="AJ35" s="205"/>
      <c r="AK35" s="205"/>
      <c r="AL35" s="205"/>
      <c r="AM35" s="215" t="e">
        <f t="shared" si="37"/>
        <v>#REF!</v>
      </c>
      <c r="AN35" s="215" t="e">
        <f t="shared" si="38"/>
        <v>#REF!</v>
      </c>
      <c r="AO35" s="215" t="e">
        <f t="shared" si="39"/>
        <v>#REF!</v>
      </c>
      <c r="AP35" s="215"/>
      <c r="AQ35" s="215" t="e">
        <f t="shared" si="35"/>
        <v>#REF!</v>
      </c>
      <c r="AR35" s="215" t="e">
        <f t="shared" si="40"/>
        <v>#REF!</v>
      </c>
      <c r="AS35" s="216" t="e">
        <f t="shared" si="41"/>
        <v>#REF!</v>
      </c>
    </row>
    <row r="36" spans="1:45" ht="18" hidden="1" customHeight="1">
      <c r="A36" s="185" t="s">
        <v>29</v>
      </c>
      <c r="B36" s="186">
        <f t="shared" ref="B36:N36" si="43">+B25</f>
        <v>5040.43</v>
      </c>
      <c r="C36" s="186">
        <f t="shared" si="43"/>
        <v>4676.1000000000058</v>
      </c>
      <c r="D36" s="186">
        <f t="shared" si="43"/>
        <v>5342.75</v>
      </c>
      <c r="E36" s="186">
        <f t="shared" si="43"/>
        <v>5916.9699999999939</v>
      </c>
      <c r="F36" s="186" t="e">
        <f t="shared" si="43"/>
        <v>#REF!</v>
      </c>
      <c r="G36" s="186" t="e">
        <f t="shared" si="43"/>
        <v>#REF!</v>
      </c>
      <c r="H36" s="186" t="e">
        <f t="shared" si="43"/>
        <v>#REF!</v>
      </c>
      <c r="I36" s="186" t="e">
        <f t="shared" si="43"/>
        <v>#REF!</v>
      </c>
      <c r="J36" s="186" t="e">
        <f t="shared" si="43"/>
        <v>#REF!</v>
      </c>
      <c r="K36" s="186" t="e">
        <f>+K25/12</f>
        <v>#REF!</v>
      </c>
      <c r="L36" s="186" t="e">
        <f t="shared" si="43"/>
        <v>#REF!</v>
      </c>
      <c r="M36" s="186" t="e">
        <f t="shared" si="43"/>
        <v>#REF!</v>
      </c>
      <c r="N36" s="186" t="e">
        <f t="shared" si="43"/>
        <v>#REF!</v>
      </c>
      <c r="O36" s="186" t="e">
        <f>+O25</f>
        <v>#REF!</v>
      </c>
      <c r="P36" s="169"/>
      <c r="Q36" s="169"/>
      <c r="R36" s="169"/>
      <c r="S36" s="169"/>
      <c r="T36" s="169"/>
      <c r="U36" s="169"/>
      <c r="V36" s="169"/>
      <c r="AC36" s="175"/>
      <c r="AF36" s="208"/>
      <c r="AG36" s="208"/>
      <c r="AH36" s="214"/>
      <c r="AI36" s="204"/>
      <c r="AJ36" s="205"/>
      <c r="AK36" s="205"/>
      <c r="AL36" s="205"/>
      <c r="AM36" s="215" t="e">
        <f t="shared" si="37"/>
        <v>#REF!</v>
      </c>
      <c r="AN36" s="215" t="e">
        <f t="shared" si="38"/>
        <v>#REF!</v>
      </c>
      <c r="AO36" s="215" t="e">
        <f t="shared" si="39"/>
        <v>#REF!</v>
      </c>
      <c r="AP36" s="215"/>
      <c r="AQ36" s="215" t="e">
        <f t="shared" si="35"/>
        <v>#REF!</v>
      </c>
      <c r="AR36" s="215" t="e">
        <f t="shared" si="40"/>
        <v>#REF!</v>
      </c>
      <c r="AS36" s="216" t="e">
        <f t="shared" si="41"/>
        <v>#REF!</v>
      </c>
    </row>
    <row r="37" spans="1:45" ht="17.55" hidden="1" customHeight="1">
      <c r="A37" s="185" t="s">
        <v>21</v>
      </c>
      <c r="B37" s="186">
        <f t="shared" ref="B37:S37" si="44">+B26/8</f>
        <v>4740.80375</v>
      </c>
      <c r="C37" s="186">
        <f t="shared" si="44"/>
        <v>4493.7924999999996</v>
      </c>
      <c r="D37" s="186">
        <f t="shared" si="44"/>
        <v>4641.9799999999996</v>
      </c>
      <c r="E37" s="186">
        <f t="shared" si="44"/>
        <v>5636.1612500000001</v>
      </c>
      <c r="F37" s="186" t="e">
        <f t="shared" si="44"/>
        <v>#REF!</v>
      </c>
      <c r="G37" s="186" t="e">
        <f t="shared" si="44"/>
        <v>#REF!</v>
      </c>
      <c r="H37" s="186" t="e">
        <f t="shared" si="44"/>
        <v>#REF!</v>
      </c>
      <c r="I37" s="186" t="e">
        <f t="shared" si="44"/>
        <v>#REF!</v>
      </c>
      <c r="J37" s="186" t="e">
        <f t="shared" si="44"/>
        <v>#REF!</v>
      </c>
      <c r="K37" s="186" t="e">
        <f t="shared" si="44"/>
        <v>#REF!</v>
      </c>
      <c r="L37" s="186" t="e">
        <f t="shared" si="44"/>
        <v>#REF!</v>
      </c>
      <c r="M37" s="186" t="e">
        <f t="shared" si="44"/>
        <v>#REF!</v>
      </c>
      <c r="N37" s="186" t="e">
        <f t="shared" si="44"/>
        <v>#REF!</v>
      </c>
      <c r="O37" s="186" t="e">
        <f t="shared" si="44"/>
        <v>#REF!</v>
      </c>
      <c r="P37" s="186" t="e">
        <f t="shared" si="44"/>
        <v>#REF!</v>
      </c>
      <c r="Q37" s="186" t="e">
        <f t="shared" si="44"/>
        <v>#REF!</v>
      </c>
      <c r="R37" s="186" t="e">
        <f t="shared" si="44"/>
        <v>#REF!</v>
      </c>
      <c r="S37" s="186" t="e">
        <f t="shared" si="44"/>
        <v>#REF!</v>
      </c>
      <c r="T37" s="186" t="e">
        <f>+T26/8</f>
        <v>#REF!</v>
      </c>
      <c r="U37" s="169"/>
      <c r="V37" s="169"/>
      <c r="AF37" s="208"/>
      <c r="AG37" s="208"/>
      <c r="AH37" s="217">
        <v>20</v>
      </c>
      <c r="AI37" s="211"/>
      <c r="AJ37" s="218"/>
      <c r="AK37" s="218"/>
      <c r="AL37" s="218"/>
      <c r="AM37" s="212" t="e">
        <f t="shared" si="37"/>
        <v>#REF!</v>
      </c>
      <c r="AN37" s="212" t="e">
        <f t="shared" si="38"/>
        <v>#REF!</v>
      </c>
      <c r="AO37" s="212" t="e">
        <f t="shared" si="39"/>
        <v>#REF!</v>
      </c>
      <c r="AP37" s="212"/>
      <c r="AQ37" s="212" t="e">
        <f t="shared" si="35"/>
        <v>#REF!</v>
      </c>
      <c r="AR37" s="212" t="e">
        <f t="shared" si="40"/>
        <v>#REF!</v>
      </c>
      <c r="AS37" s="213" t="e">
        <f t="shared" si="41"/>
        <v>#REF!</v>
      </c>
    </row>
    <row r="38" spans="1:45" ht="17.55" hidden="1" customHeight="1">
      <c r="A38" s="185" t="s">
        <v>205</v>
      </c>
      <c r="B38" s="186">
        <f t="shared" ref="B38:S38" si="45">+B27/4</f>
        <v>5101.93</v>
      </c>
      <c r="C38" s="186">
        <f t="shared" si="45"/>
        <v>4634.9325000000008</v>
      </c>
      <c r="D38" s="186">
        <f t="shared" si="45"/>
        <v>5331.9025000000001</v>
      </c>
      <c r="E38" s="186">
        <f t="shared" si="45"/>
        <v>6133.7374999999975</v>
      </c>
      <c r="F38" s="186" t="e">
        <f t="shared" si="45"/>
        <v>#REF!</v>
      </c>
      <c r="G38" s="186" t="e">
        <f t="shared" si="45"/>
        <v>#REF!</v>
      </c>
      <c r="H38" s="186" t="e">
        <f t="shared" si="45"/>
        <v>#REF!</v>
      </c>
      <c r="I38" s="186" t="e">
        <f t="shared" si="45"/>
        <v>#REF!</v>
      </c>
      <c r="J38" s="186" t="e">
        <f t="shared" si="45"/>
        <v>#REF!</v>
      </c>
      <c r="K38" s="186" t="e">
        <f t="shared" si="45"/>
        <v>#REF!</v>
      </c>
      <c r="L38" s="186" t="e">
        <f t="shared" si="45"/>
        <v>#REF!</v>
      </c>
      <c r="M38" s="186" t="e">
        <f t="shared" si="45"/>
        <v>#REF!</v>
      </c>
      <c r="N38" s="186" t="e">
        <f t="shared" si="45"/>
        <v>#REF!</v>
      </c>
      <c r="O38" s="186" t="e">
        <f t="shared" si="45"/>
        <v>#REF!</v>
      </c>
      <c r="P38" s="186" t="e">
        <f t="shared" si="45"/>
        <v>#REF!</v>
      </c>
      <c r="Q38" s="186" t="e">
        <f t="shared" si="45"/>
        <v>#REF!</v>
      </c>
      <c r="R38" s="186" t="e">
        <f t="shared" si="45"/>
        <v>#REF!</v>
      </c>
      <c r="S38" s="186" t="e">
        <f t="shared" si="45"/>
        <v>#REF!</v>
      </c>
      <c r="T38" s="186" t="e">
        <f>+T27/4</f>
        <v>#REF!</v>
      </c>
      <c r="U38" s="169"/>
      <c r="V38" s="169"/>
      <c r="AH38" s="214">
        <v>22</v>
      </c>
      <c r="AI38" s="204"/>
      <c r="AJ38" s="205"/>
      <c r="AK38" s="205"/>
      <c r="AL38" s="205"/>
      <c r="AM38" s="215" t="e">
        <f t="shared" si="37"/>
        <v>#REF!</v>
      </c>
      <c r="AN38" s="215" t="e">
        <f t="shared" si="38"/>
        <v>#REF!</v>
      </c>
      <c r="AO38" s="215" t="e">
        <f t="shared" si="39"/>
        <v>#REF!</v>
      </c>
      <c r="AP38" s="215"/>
      <c r="AQ38" s="215" t="e">
        <f t="shared" si="35"/>
        <v>#REF!</v>
      </c>
      <c r="AR38" s="215" t="e">
        <f t="shared" si="40"/>
        <v>#REF!</v>
      </c>
      <c r="AS38" s="216" t="e">
        <f t="shared" si="41"/>
        <v>#REF!</v>
      </c>
    </row>
    <row r="39" spans="1:45" ht="17.55" customHeight="1">
      <c r="AH39" s="214">
        <v>24</v>
      </c>
      <c r="AI39" s="204"/>
      <c r="AJ39" s="205"/>
      <c r="AK39" s="205"/>
      <c r="AL39" s="205"/>
      <c r="AM39" s="215" t="e">
        <f t="shared" si="37"/>
        <v>#REF!</v>
      </c>
      <c r="AN39" s="215" t="e">
        <f t="shared" si="38"/>
        <v>#REF!</v>
      </c>
      <c r="AO39" s="215" t="e">
        <f t="shared" si="39"/>
        <v>#REF!</v>
      </c>
      <c r="AP39" s="215"/>
      <c r="AQ39" s="215" t="e">
        <f t="shared" si="35"/>
        <v>#REF!</v>
      </c>
      <c r="AR39" s="215" t="e">
        <f t="shared" si="40"/>
        <v>#REF!</v>
      </c>
      <c r="AS39" s="216" t="e">
        <f t="shared" si="41"/>
        <v>#REF!</v>
      </c>
    </row>
  </sheetData>
  <mergeCells count="10">
    <mergeCell ref="AH31:AM31"/>
    <mergeCell ref="AQ31:AS31"/>
    <mergeCell ref="U3:V3"/>
    <mergeCell ref="BO3:BQ3"/>
    <mergeCell ref="BI2:BR2"/>
    <mergeCell ref="A1:BP1"/>
    <mergeCell ref="AU3:AV3"/>
    <mergeCell ref="S3:T3"/>
    <mergeCell ref="AM2:AV2"/>
    <mergeCell ref="A2:T2"/>
  </mergeCells>
  <printOptions horizontalCentered="1"/>
  <pageMargins left="0.35433070866141736" right="0.35433070866141736" top="0" bottom="0" header="0.19685039370078741" footer="0.19685039370078741"/>
  <pageSetup paperSize="9" orientation="landscape" r:id="rId1"/>
  <headerFooter alignWithMargins="0">
    <oddFooter>&amp;Cคาดการณ์ส่งออก&amp;Rสยค/สอ 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J37"/>
  <sheetViews>
    <sheetView workbookViewId="0">
      <selection sqref="A1:BH1"/>
    </sheetView>
  </sheetViews>
  <sheetFormatPr defaultColWidth="9" defaultRowHeight="19.8"/>
  <cols>
    <col min="1" max="1" width="8.25" customWidth="1"/>
    <col min="2" max="10" width="7.75" hidden="1" customWidth="1"/>
    <col min="11" max="11" width="9.625" hidden="1" customWidth="1"/>
    <col min="12" max="12" width="7.75" hidden="1" customWidth="1"/>
    <col min="13" max="16" width="8.75" customWidth="1"/>
    <col min="17" max="17" width="0" hidden="1" customWidth="1"/>
    <col min="18" max="20" width="8.75" customWidth="1"/>
    <col min="21" max="21" width="1.375" customWidth="1"/>
    <col min="22" max="29" width="5.75" hidden="1" customWidth="1"/>
    <col min="30" max="30" width="7" hidden="1" customWidth="1"/>
    <col min="31" max="31" width="5.75" hidden="1" customWidth="1"/>
    <col min="32" max="32" width="7" customWidth="1"/>
    <col min="33" max="33" width="5.75" hidden="1" customWidth="1"/>
    <col min="34" max="36" width="7" hidden="1" customWidth="1"/>
    <col min="37" max="39" width="7" customWidth="1"/>
    <col min="40" max="40" width="7" hidden="1" customWidth="1"/>
    <col min="41" max="43" width="7" customWidth="1"/>
    <col min="44" max="44" width="1.375" customWidth="1"/>
    <col min="45" max="53" width="5.75" hidden="1" customWidth="1"/>
    <col min="54" max="54" width="7" hidden="1" customWidth="1"/>
    <col min="55" max="55" width="5.75" hidden="1" customWidth="1"/>
    <col min="56" max="62" width="6.375" customWidth="1"/>
  </cols>
  <sheetData>
    <row r="1" spans="1:62" ht="26.4">
      <c r="A1" s="394" t="s">
        <v>211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394"/>
      <c r="AA1" s="394"/>
      <c r="AB1" s="394"/>
      <c r="AC1" s="394"/>
      <c r="AD1" s="394"/>
      <c r="AE1" s="394"/>
      <c r="AF1" s="394"/>
      <c r="AG1" s="394"/>
      <c r="AH1" s="394"/>
      <c r="AI1" s="394"/>
      <c r="AJ1" s="394"/>
      <c r="AK1" s="394"/>
      <c r="AL1" s="394"/>
      <c r="AM1" s="394"/>
      <c r="AN1" s="394"/>
      <c r="AO1" s="394"/>
      <c r="AP1" s="394"/>
      <c r="AQ1" s="394"/>
      <c r="AR1" s="394"/>
      <c r="AS1" s="394"/>
      <c r="AT1" s="394"/>
      <c r="AU1" s="394"/>
      <c r="AV1" s="394"/>
      <c r="AW1" s="394"/>
      <c r="AX1" s="394"/>
      <c r="AY1" s="394"/>
      <c r="AZ1" s="394"/>
      <c r="BA1" s="394"/>
      <c r="BB1" s="394"/>
      <c r="BC1" s="394"/>
      <c r="BD1" s="394"/>
      <c r="BE1" s="394"/>
      <c r="BF1" s="394"/>
      <c r="BG1" s="394"/>
      <c r="BH1" s="394"/>
      <c r="BI1" s="298"/>
      <c r="BJ1" s="298"/>
    </row>
    <row r="2" spans="1:62" ht="16.5" customHeight="1">
      <c r="A2" s="101" t="s">
        <v>142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V2" s="52" t="s">
        <v>1</v>
      </c>
      <c r="W2" s="2"/>
      <c r="X2" s="72" t="s">
        <v>1</v>
      </c>
      <c r="Y2" s="91"/>
      <c r="Z2" s="101" t="s">
        <v>1</v>
      </c>
      <c r="AA2" s="101" t="s">
        <v>1</v>
      </c>
      <c r="AB2" s="101"/>
      <c r="AC2" s="101"/>
      <c r="AD2" s="101" t="s">
        <v>1</v>
      </c>
      <c r="AE2" s="101"/>
      <c r="AF2" s="101" t="s">
        <v>1</v>
      </c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S2" s="2"/>
      <c r="AT2" s="52" t="s">
        <v>128</v>
      </c>
      <c r="AU2" s="52" t="s">
        <v>128</v>
      </c>
      <c r="AV2" s="72" t="s">
        <v>128</v>
      </c>
      <c r="AW2" s="91" t="s">
        <v>128</v>
      </c>
      <c r="AX2" s="101" t="s">
        <v>128</v>
      </c>
      <c r="AY2" s="101" t="s">
        <v>128</v>
      </c>
      <c r="AZ2" s="2"/>
      <c r="BA2" s="2"/>
      <c r="BB2" s="101" t="s">
        <v>128</v>
      </c>
      <c r="BC2" s="2"/>
      <c r="BD2" s="397" t="s">
        <v>128</v>
      </c>
      <c r="BE2" s="397"/>
      <c r="BF2" s="397"/>
      <c r="BG2" s="397"/>
      <c r="BH2" s="397"/>
      <c r="BI2" s="397"/>
      <c r="BJ2" s="397"/>
    </row>
    <row r="3" spans="1:62" ht="18" customHeight="1">
      <c r="B3" s="4"/>
      <c r="C3" s="4"/>
      <c r="D3" s="4"/>
      <c r="E3" s="4"/>
      <c r="F3" s="4"/>
      <c r="G3" s="4"/>
      <c r="H3" s="51"/>
      <c r="I3" s="51"/>
      <c r="J3" s="51"/>
      <c r="K3" s="51"/>
      <c r="L3" s="51"/>
      <c r="M3" s="51"/>
      <c r="T3" s="51" t="s">
        <v>143</v>
      </c>
      <c r="U3" s="51"/>
      <c r="V3" s="51"/>
      <c r="W3" s="51"/>
      <c r="X3" s="51"/>
      <c r="Z3" s="4"/>
      <c r="AA3" s="4"/>
      <c r="AB3" s="4"/>
      <c r="AC3" s="4"/>
      <c r="AD3" s="4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 t="s">
        <v>3</v>
      </c>
      <c r="AR3" s="51"/>
      <c r="AT3" s="4"/>
      <c r="AU3" s="4"/>
      <c r="AV3" s="4"/>
      <c r="AW3" s="4"/>
      <c r="AX3" s="4"/>
      <c r="AY3" s="4"/>
      <c r="AZ3" s="51"/>
      <c r="BA3" s="51"/>
      <c r="BB3" s="51"/>
      <c r="BC3" s="51"/>
      <c r="BD3" s="51"/>
      <c r="BE3" s="51"/>
      <c r="BJ3" s="51" t="s">
        <v>3</v>
      </c>
    </row>
    <row r="4" spans="1:62" ht="17.55" customHeight="1">
      <c r="A4" s="50"/>
      <c r="B4" s="19">
        <v>2540</v>
      </c>
      <c r="C4" s="19">
        <v>2541</v>
      </c>
      <c r="D4" s="19">
        <v>2542</v>
      </c>
      <c r="E4" s="19">
        <v>2543</v>
      </c>
      <c r="F4" s="19">
        <v>2544</v>
      </c>
      <c r="G4" s="19">
        <v>2545</v>
      </c>
      <c r="H4" s="19">
        <v>2546</v>
      </c>
      <c r="I4" s="19">
        <v>2547</v>
      </c>
      <c r="J4" s="19">
        <v>2548</v>
      </c>
      <c r="K4" s="19">
        <v>2549</v>
      </c>
      <c r="L4" s="19" t="s">
        <v>144</v>
      </c>
      <c r="M4" s="19">
        <v>2550</v>
      </c>
      <c r="N4" s="19">
        <v>2551</v>
      </c>
      <c r="O4" s="19">
        <v>2552</v>
      </c>
      <c r="P4" s="19">
        <v>2553</v>
      </c>
      <c r="Q4" s="19" t="s">
        <v>145</v>
      </c>
      <c r="R4" s="19" t="s">
        <v>212</v>
      </c>
      <c r="S4" s="19" t="s">
        <v>145</v>
      </c>
      <c r="T4" s="19">
        <v>2554</v>
      </c>
      <c r="U4" s="46"/>
      <c r="V4" s="19">
        <v>2541</v>
      </c>
      <c r="W4" s="19">
        <v>2542</v>
      </c>
      <c r="X4" s="19">
        <v>2543</v>
      </c>
      <c r="Y4" s="19">
        <v>2544</v>
      </c>
      <c r="Z4" s="19">
        <v>2545</v>
      </c>
      <c r="AA4" s="19">
        <v>2546</v>
      </c>
      <c r="AB4" s="19">
        <v>2547</v>
      </c>
      <c r="AC4" s="19">
        <v>2548</v>
      </c>
      <c r="AD4" s="19">
        <v>2549</v>
      </c>
      <c r="AE4" s="19" t="s">
        <v>144</v>
      </c>
      <c r="AF4" s="19">
        <v>2550</v>
      </c>
      <c r="AG4" s="19" t="s">
        <v>148</v>
      </c>
      <c r="AH4" s="19" t="s">
        <v>149</v>
      </c>
      <c r="AI4" s="19" t="s">
        <v>150</v>
      </c>
      <c r="AJ4" s="19" t="s">
        <v>151</v>
      </c>
      <c r="AK4" s="19">
        <v>2551</v>
      </c>
      <c r="AL4" s="19">
        <v>2552</v>
      </c>
      <c r="AM4" s="19">
        <v>2553</v>
      </c>
      <c r="AN4" s="19" t="s">
        <v>145</v>
      </c>
      <c r="AO4" s="19" t="s">
        <v>212</v>
      </c>
      <c r="AP4" s="19" t="s">
        <v>145</v>
      </c>
      <c r="AQ4" s="19">
        <v>2554</v>
      </c>
      <c r="AR4" s="46"/>
      <c r="AS4" s="19">
        <v>2540</v>
      </c>
      <c r="AT4" s="19">
        <v>2541</v>
      </c>
      <c r="AU4" s="19">
        <v>2542</v>
      </c>
      <c r="AV4" s="19">
        <v>2543</v>
      </c>
      <c r="AW4" s="19">
        <v>2544</v>
      </c>
      <c r="AX4" s="19">
        <v>2545</v>
      </c>
      <c r="AY4" s="19">
        <v>2546</v>
      </c>
      <c r="AZ4" s="19">
        <v>2547</v>
      </c>
      <c r="BA4" s="19">
        <v>2548</v>
      </c>
      <c r="BB4" s="19">
        <v>2549</v>
      </c>
      <c r="BC4" s="19" t="s">
        <v>152</v>
      </c>
      <c r="BD4" s="19">
        <v>2550</v>
      </c>
      <c r="BE4" s="19">
        <v>2551</v>
      </c>
      <c r="BF4" s="19">
        <v>2552</v>
      </c>
      <c r="BG4" s="19">
        <v>2553</v>
      </c>
      <c r="BH4" s="19" t="s">
        <v>153</v>
      </c>
      <c r="BI4" s="19" t="s">
        <v>145</v>
      </c>
      <c r="BJ4" s="19">
        <v>2554</v>
      </c>
    </row>
    <row r="5" spans="1:62" ht="17.55" customHeight="1">
      <c r="A5" s="45" t="s">
        <v>4</v>
      </c>
      <c r="B5" s="53">
        <v>4666.4399999999996</v>
      </c>
      <c r="C5" s="53">
        <v>4283.82</v>
      </c>
      <c r="D5" s="53">
        <v>4056.8</v>
      </c>
      <c r="E5" s="53">
        <v>5302.87</v>
      </c>
      <c r="F5" s="53" t="e">
        <f>+#REF!</f>
        <v>#REF!</v>
      </c>
      <c r="G5" s="53" t="e">
        <f>+#REF!</f>
        <v>#REF!</v>
      </c>
      <c r="H5" s="53" t="e">
        <f>+#REF!</f>
        <v>#REF!</v>
      </c>
      <c r="I5" s="53" t="e">
        <f>+#REF!</f>
        <v>#REF!</v>
      </c>
      <c r="J5" s="53" t="e">
        <f>+#REF!</f>
        <v>#REF!</v>
      </c>
      <c r="K5" s="53" t="e">
        <f>+#REF!</f>
        <v>#REF!</v>
      </c>
      <c r="L5" s="53" t="e">
        <f>($L$23*BC5)/100</f>
        <v>#REF!</v>
      </c>
      <c r="M5" s="53" t="e">
        <f>+#REF!</f>
        <v>#REF!</v>
      </c>
      <c r="N5" s="53" t="e">
        <f>+#REF!</f>
        <v>#REF!</v>
      </c>
      <c r="O5" s="53" t="e">
        <f>+#REF!</f>
        <v>#REF!</v>
      </c>
      <c r="P5" s="53" t="e">
        <f>+#REF!</f>
        <v>#REF!</v>
      </c>
      <c r="Q5" s="53" t="e">
        <f>(Q$23*BJ5)/100</f>
        <v>#REF!</v>
      </c>
      <c r="R5" s="53" t="e">
        <f>(R$23*BH5)/100</f>
        <v>#REF!</v>
      </c>
      <c r="S5" s="53" t="e">
        <f t="shared" ref="S5:S10" si="0">+T5</f>
        <v>#REF!</v>
      </c>
      <c r="T5" s="53" t="e">
        <f>+#REF!</f>
        <v>#REF!</v>
      </c>
      <c r="U5" s="46"/>
      <c r="V5" s="56">
        <f t="shared" ref="V5:AE5" si="1">((C5/B5)-1)*100</f>
        <v>-8.1993982564867451</v>
      </c>
      <c r="W5" s="56">
        <f t="shared" si="1"/>
        <v>-5.2994757015934262</v>
      </c>
      <c r="X5" s="56">
        <f t="shared" si="1"/>
        <v>30.715588641293621</v>
      </c>
      <c r="Y5" s="56" t="e">
        <f t="shared" si="1"/>
        <v>#REF!</v>
      </c>
      <c r="Z5" s="56" t="e">
        <f t="shared" si="1"/>
        <v>#REF!</v>
      </c>
      <c r="AA5" s="56" t="e">
        <f t="shared" si="1"/>
        <v>#REF!</v>
      </c>
      <c r="AB5" s="56" t="e">
        <f t="shared" si="1"/>
        <v>#REF!</v>
      </c>
      <c r="AC5" s="56" t="e">
        <f t="shared" si="1"/>
        <v>#REF!</v>
      </c>
      <c r="AD5" s="56" t="e">
        <f t="shared" si="1"/>
        <v>#REF!</v>
      </c>
      <c r="AE5" s="56" t="e">
        <f t="shared" si="1"/>
        <v>#REF!</v>
      </c>
      <c r="AF5" s="56" t="e">
        <f t="shared" ref="AF5:AF23" si="2">((M5/K5)-1)*100</f>
        <v>#REF!</v>
      </c>
      <c r="AG5" s="56" t="e">
        <f>((#REF!/M5)-1)*100</f>
        <v>#REF!</v>
      </c>
      <c r="AH5" s="56" t="e">
        <f>((#REF!/M5)-1)*100</f>
        <v>#REF!</v>
      </c>
      <c r="AI5" s="56" t="e">
        <f>((#REF!/M5)-1)*100</f>
        <v>#REF!</v>
      </c>
      <c r="AJ5" s="56" t="e">
        <f>((#REF!/M5)-1)*100</f>
        <v>#REF!</v>
      </c>
      <c r="AK5" s="56" t="e">
        <f>((N5/M5)-1)*100</f>
        <v>#REF!</v>
      </c>
      <c r="AL5" s="56" t="e">
        <f>((O5/N5)-1)*100</f>
        <v>#REF!</v>
      </c>
      <c r="AM5" s="56" t="e">
        <f>((P5/O5)-1)*100</f>
        <v>#REF!</v>
      </c>
      <c r="AN5" s="56" t="e">
        <f>((Q5/P5)-1)*100</f>
        <v>#REF!</v>
      </c>
      <c r="AO5" s="56" t="e">
        <f t="shared" ref="AO5:AO22" si="3">((R5/P5)-1)*100</f>
        <v>#REF!</v>
      </c>
      <c r="AP5" s="56" t="e">
        <f t="shared" ref="AP5:AP20" si="4">((S5/P5)-1)*100</f>
        <v>#REF!</v>
      </c>
      <c r="AQ5" s="56" t="e">
        <f t="shared" ref="AQ5:AQ20" si="5">((T5/P5)-1)*100</f>
        <v>#REF!</v>
      </c>
      <c r="AR5" s="56"/>
      <c r="AS5" s="56">
        <f t="shared" ref="AS5:BB10" si="6">+(B5/B$23)*100</f>
        <v>7.9994994355793301</v>
      </c>
      <c r="AT5" s="56">
        <f t="shared" si="6"/>
        <v>7.861652591013371</v>
      </c>
      <c r="AU5" s="56">
        <f t="shared" si="6"/>
        <v>6.9390362696693408</v>
      </c>
      <c r="AV5" s="56">
        <f t="shared" si="6"/>
        <v>7.6164134789837563</v>
      </c>
      <c r="AW5" s="56" t="e">
        <f t="shared" si="6"/>
        <v>#REF!</v>
      </c>
      <c r="AX5" s="56" t="e">
        <f t="shared" si="6"/>
        <v>#REF!</v>
      </c>
      <c r="AY5" s="56" t="e">
        <f t="shared" si="6"/>
        <v>#REF!</v>
      </c>
      <c r="AZ5" s="56" t="e">
        <f t="shared" si="6"/>
        <v>#REF!</v>
      </c>
      <c r="BA5" s="56" t="e">
        <f t="shared" si="6"/>
        <v>#REF!</v>
      </c>
      <c r="BB5" s="56" t="e">
        <f t="shared" si="6"/>
        <v>#REF!</v>
      </c>
      <c r="BC5" s="57" t="e">
        <f>AVERAGE(AZ5:BB5)</f>
        <v>#REF!</v>
      </c>
      <c r="BD5" s="56" t="e">
        <f t="shared" ref="BD5:BD23" si="7">+(M5/M$23)*100</f>
        <v>#REF!</v>
      </c>
      <c r="BE5" s="56" t="e">
        <f t="shared" ref="BE5:BE23" si="8">+(N5/N$23)*100</f>
        <v>#REF!</v>
      </c>
      <c r="BF5" s="56" t="e">
        <f t="shared" ref="BF5:BF23" si="9">+(O5/O$23)*100</f>
        <v>#REF!</v>
      </c>
      <c r="BG5" s="56" t="e">
        <f t="shared" ref="BG5:BG23" si="10">+(P5/P$23)*100</f>
        <v>#REF!</v>
      </c>
      <c r="BH5" s="56" t="e">
        <f t="shared" ref="BH5:BH23" si="11">AVERAGE(BG5,BE5,BF5)</f>
        <v>#REF!</v>
      </c>
      <c r="BI5" s="56" t="e">
        <f t="shared" ref="BI5:BJ20" si="12">+(S5/S$23)*100</f>
        <v>#REF!</v>
      </c>
      <c r="BJ5" s="56" t="e">
        <f t="shared" si="12"/>
        <v>#REF!</v>
      </c>
    </row>
    <row r="6" spans="1:62" ht="17.55" customHeight="1">
      <c r="A6" s="45" t="s">
        <v>5</v>
      </c>
      <c r="B6" s="53">
        <v>4353.1099999999997</v>
      </c>
      <c r="C6" s="53">
        <v>4488.3999999999996</v>
      </c>
      <c r="D6" s="53">
        <v>4238.6400000000003</v>
      </c>
      <c r="E6" s="53">
        <v>5406.06</v>
      </c>
      <c r="F6" s="53" t="e">
        <f>+#REF!</f>
        <v>#REF!</v>
      </c>
      <c r="G6" s="53" t="e">
        <f>+#REF!</f>
        <v>#REF!</v>
      </c>
      <c r="H6" s="53" t="e">
        <f>+#REF!</f>
        <v>#REF!</v>
      </c>
      <c r="I6" s="53" t="e">
        <f>+#REF!</f>
        <v>#REF!</v>
      </c>
      <c r="J6" s="53" t="e">
        <f>+#REF!</f>
        <v>#REF!</v>
      </c>
      <c r="K6" s="53" t="e">
        <f>+#REF!</f>
        <v>#REF!</v>
      </c>
      <c r="L6" s="53" t="e">
        <f>($L$23*BC6)/100</f>
        <v>#REF!</v>
      </c>
      <c r="M6" s="53" t="e">
        <f>+#REF!</f>
        <v>#REF!</v>
      </c>
      <c r="N6" s="53" t="e">
        <f>+#REF!</f>
        <v>#REF!</v>
      </c>
      <c r="O6" s="53" t="e">
        <f>+#REF!</f>
        <v>#REF!</v>
      </c>
      <c r="P6" s="53" t="e">
        <f>+#REF!</f>
        <v>#REF!</v>
      </c>
      <c r="Q6" s="53" t="e">
        <f>(Q$23*BJ6)/100</f>
        <v>#REF!</v>
      </c>
      <c r="R6" s="53" t="e">
        <f>(R$23*BH6)/100</f>
        <v>#REF!</v>
      </c>
      <c r="S6" s="53" t="e">
        <f t="shared" si="0"/>
        <v>#REF!</v>
      </c>
      <c r="T6" s="53" t="e">
        <f>+#REF!</f>
        <v>#REF!</v>
      </c>
      <c r="U6" s="46"/>
      <c r="V6" s="56">
        <f t="shared" ref="V6:AB10" si="13">((C6/B6)-1)*100</f>
        <v>3.1078929776642505</v>
      </c>
      <c r="W6" s="56">
        <f t="shared" si="13"/>
        <v>-5.564566437928864</v>
      </c>
      <c r="X6" s="56">
        <f t="shared" si="13"/>
        <v>27.542324896664972</v>
      </c>
      <c r="Y6" s="56" t="e">
        <f t="shared" si="13"/>
        <v>#REF!</v>
      </c>
      <c r="Z6" s="56" t="e">
        <f t="shared" si="13"/>
        <v>#REF!</v>
      </c>
      <c r="AA6" s="56" t="e">
        <f t="shared" si="13"/>
        <v>#REF!</v>
      </c>
      <c r="AB6" s="56" t="e">
        <f t="shared" si="13"/>
        <v>#REF!</v>
      </c>
      <c r="AC6" s="56" t="e">
        <f t="shared" ref="AC6:AE23" si="14">((J6/I6)-1)*100</f>
        <v>#REF!</v>
      </c>
      <c r="AD6" s="56" t="e">
        <f t="shared" si="14"/>
        <v>#REF!</v>
      </c>
      <c r="AE6" s="56" t="e">
        <f t="shared" si="14"/>
        <v>#REF!</v>
      </c>
      <c r="AF6" s="56" t="e">
        <f t="shared" si="2"/>
        <v>#REF!</v>
      </c>
      <c r="AG6" s="56" t="e">
        <f>((#REF!/M6)-1)*100</f>
        <v>#REF!</v>
      </c>
      <c r="AH6" s="56" t="e">
        <f>((#REF!/M6)-1)*100</f>
        <v>#REF!</v>
      </c>
      <c r="AI6" s="56" t="e">
        <f>((#REF!/M6)-1)*100</f>
        <v>#REF!</v>
      </c>
      <c r="AJ6" s="56" t="e">
        <f>((#REF!/M6)-1)*100</f>
        <v>#REF!</v>
      </c>
      <c r="AK6" s="56" t="e">
        <f t="shared" ref="AK6:AK23" si="15">((N6/M6)-1)*100</f>
        <v>#REF!</v>
      </c>
      <c r="AL6" s="56" t="e">
        <f t="shared" ref="AL6:AM25" si="16">((O6/N6)-1)*100</f>
        <v>#REF!</v>
      </c>
      <c r="AM6" s="56" t="e">
        <f t="shared" ref="AM6:AM22" si="17">((P6/O6)-1)*100</f>
        <v>#REF!</v>
      </c>
      <c r="AN6" s="56" t="e">
        <f t="shared" ref="AN6:AN22" si="18">((Q6/P6)-1)*100</f>
        <v>#REF!</v>
      </c>
      <c r="AO6" s="56" t="e">
        <f t="shared" si="3"/>
        <v>#REF!</v>
      </c>
      <c r="AP6" s="56" t="e">
        <f t="shared" si="4"/>
        <v>#REF!</v>
      </c>
      <c r="AQ6" s="56" t="e">
        <f t="shared" si="5"/>
        <v>#REF!</v>
      </c>
      <c r="AR6" s="56"/>
      <c r="AS6" s="56">
        <f t="shared" si="6"/>
        <v>7.4623698125369096</v>
      </c>
      <c r="AT6" s="56">
        <f t="shared" si="6"/>
        <v>8.2370971444888941</v>
      </c>
      <c r="AU6" s="56">
        <f t="shared" si="6"/>
        <v>7.250068205006718</v>
      </c>
      <c r="AV6" s="56">
        <f t="shared" si="6"/>
        <v>7.7646233553141846</v>
      </c>
      <c r="AW6" s="56" t="e">
        <f t="shared" si="6"/>
        <v>#REF!</v>
      </c>
      <c r="AX6" s="56" t="e">
        <f t="shared" si="6"/>
        <v>#REF!</v>
      </c>
      <c r="AY6" s="56" t="e">
        <f t="shared" si="6"/>
        <v>#REF!</v>
      </c>
      <c r="AZ6" s="56" t="e">
        <f t="shared" si="6"/>
        <v>#REF!</v>
      </c>
      <c r="BA6" s="56" t="e">
        <f t="shared" si="6"/>
        <v>#REF!</v>
      </c>
      <c r="BB6" s="56" t="e">
        <f t="shared" si="6"/>
        <v>#REF!</v>
      </c>
      <c r="BC6" s="57" t="e">
        <f t="shared" ref="BC6:BC22" si="19">AVERAGE(AZ6:BB6)</f>
        <v>#REF!</v>
      </c>
      <c r="BD6" s="56" t="e">
        <f t="shared" si="7"/>
        <v>#REF!</v>
      </c>
      <c r="BE6" s="56" t="e">
        <f t="shared" si="8"/>
        <v>#REF!</v>
      </c>
      <c r="BF6" s="56" t="e">
        <f t="shared" si="9"/>
        <v>#REF!</v>
      </c>
      <c r="BG6" s="56" t="e">
        <f t="shared" si="10"/>
        <v>#REF!</v>
      </c>
      <c r="BH6" s="56" t="e">
        <f t="shared" si="11"/>
        <v>#REF!</v>
      </c>
      <c r="BI6" s="56" t="e">
        <f t="shared" si="12"/>
        <v>#REF!</v>
      </c>
      <c r="BJ6" s="56" t="e">
        <f t="shared" si="12"/>
        <v>#REF!</v>
      </c>
    </row>
    <row r="7" spans="1:62" ht="17.55" customHeight="1">
      <c r="A7" s="45" t="s">
        <v>7</v>
      </c>
      <c r="B7" s="53">
        <v>5031.7</v>
      </c>
      <c r="C7" s="53">
        <v>4866.5200000000004</v>
      </c>
      <c r="D7" s="53">
        <v>4777.37</v>
      </c>
      <c r="E7" s="53">
        <v>5839.43</v>
      </c>
      <c r="F7" s="53" t="e">
        <f>+#REF!</f>
        <v>#REF!</v>
      </c>
      <c r="G7" s="53" t="e">
        <f>+#REF!</f>
        <v>#REF!</v>
      </c>
      <c r="H7" s="53" t="e">
        <f>+#REF!</f>
        <v>#REF!</v>
      </c>
      <c r="I7" s="53" t="e">
        <f>+#REF!</f>
        <v>#REF!</v>
      </c>
      <c r="J7" s="53" t="e">
        <f>+#REF!</f>
        <v>#REF!</v>
      </c>
      <c r="K7" s="53" t="e">
        <f>+#REF!</f>
        <v>#REF!</v>
      </c>
      <c r="L7" s="53" t="e">
        <f>($L$23*BC7)/100</f>
        <v>#REF!</v>
      </c>
      <c r="M7" s="53" t="e">
        <f>+#REF!</f>
        <v>#REF!</v>
      </c>
      <c r="N7" s="53" t="e">
        <f>+#REF!</f>
        <v>#REF!</v>
      </c>
      <c r="O7" s="53" t="e">
        <f>+#REF!</f>
        <v>#REF!</v>
      </c>
      <c r="P7" s="53" t="e">
        <f>+#REF!</f>
        <v>#REF!</v>
      </c>
      <c r="Q7" s="53" t="e">
        <f>(Q$23*BJ7)/100</f>
        <v>#REF!</v>
      </c>
      <c r="R7" s="53" t="e">
        <f>(R$23*BH7)/100</f>
        <v>#REF!</v>
      </c>
      <c r="S7" s="53" t="e">
        <f t="shared" si="0"/>
        <v>#REF!</v>
      </c>
      <c r="T7" s="53" t="e">
        <f>+#REF!</f>
        <v>#REF!</v>
      </c>
      <c r="U7" s="71"/>
      <c r="V7" s="56">
        <f t="shared" si="13"/>
        <v>-3.2827871295983302</v>
      </c>
      <c r="W7" s="56">
        <f t="shared" si="13"/>
        <v>-1.8319045231500186</v>
      </c>
      <c r="X7" s="56">
        <f t="shared" si="13"/>
        <v>22.231060185834473</v>
      </c>
      <c r="Y7" s="56" t="e">
        <f t="shared" si="13"/>
        <v>#REF!</v>
      </c>
      <c r="Z7" s="56" t="e">
        <f t="shared" si="13"/>
        <v>#REF!</v>
      </c>
      <c r="AA7" s="56" t="e">
        <f t="shared" si="13"/>
        <v>#REF!</v>
      </c>
      <c r="AB7" s="56" t="e">
        <f t="shared" si="13"/>
        <v>#REF!</v>
      </c>
      <c r="AC7" s="56" t="e">
        <f t="shared" si="14"/>
        <v>#REF!</v>
      </c>
      <c r="AD7" s="56" t="e">
        <f t="shared" si="14"/>
        <v>#REF!</v>
      </c>
      <c r="AE7" s="56" t="e">
        <f t="shared" si="14"/>
        <v>#REF!</v>
      </c>
      <c r="AF7" s="56" t="e">
        <f t="shared" si="2"/>
        <v>#REF!</v>
      </c>
      <c r="AG7" s="56" t="e">
        <f>((#REF!/M7)-1)*100</f>
        <v>#REF!</v>
      </c>
      <c r="AH7" s="56" t="e">
        <f>((#REF!/M7)-1)*100</f>
        <v>#REF!</v>
      </c>
      <c r="AI7" s="56" t="e">
        <f>((#REF!/M7)-1)*100</f>
        <v>#REF!</v>
      </c>
      <c r="AJ7" s="56" t="e">
        <f>((#REF!/M7)-1)*100</f>
        <v>#REF!</v>
      </c>
      <c r="AK7" s="56" t="e">
        <f t="shared" si="15"/>
        <v>#REF!</v>
      </c>
      <c r="AL7" s="56" t="e">
        <f t="shared" si="16"/>
        <v>#REF!</v>
      </c>
      <c r="AM7" s="56" t="e">
        <f t="shared" si="17"/>
        <v>#REF!</v>
      </c>
      <c r="AN7" s="56" t="e">
        <f t="shared" si="18"/>
        <v>#REF!</v>
      </c>
      <c r="AO7" s="56" t="e">
        <f t="shared" si="3"/>
        <v>#REF!</v>
      </c>
      <c r="AP7" s="56" t="e">
        <f t="shared" si="4"/>
        <v>#REF!</v>
      </c>
      <c r="AQ7" s="56" t="e">
        <f t="shared" si="5"/>
        <v>#REF!</v>
      </c>
      <c r="AR7" s="56"/>
      <c r="AS7" s="56">
        <f t="shared" si="6"/>
        <v>8.6256506694620558</v>
      </c>
      <c r="AT7" s="56">
        <f t="shared" si="6"/>
        <v>8.9310217439617912</v>
      </c>
      <c r="AU7" s="56">
        <f t="shared" si="6"/>
        <v>8.171549917084949</v>
      </c>
      <c r="AV7" s="56">
        <f t="shared" si="6"/>
        <v>8.3870646200231427</v>
      </c>
      <c r="AW7" s="56" t="e">
        <f t="shared" si="6"/>
        <v>#REF!</v>
      </c>
      <c r="AX7" s="56" t="e">
        <f t="shared" si="6"/>
        <v>#REF!</v>
      </c>
      <c r="AY7" s="56" t="e">
        <f t="shared" si="6"/>
        <v>#REF!</v>
      </c>
      <c r="AZ7" s="56" t="e">
        <f t="shared" si="6"/>
        <v>#REF!</v>
      </c>
      <c r="BA7" s="56" t="e">
        <f t="shared" si="6"/>
        <v>#REF!</v>
      </c>
      <c r="BB7" s="56" t="e">
        <f t="shared" si="6"/>
        <v>#REF!</v>
      </c>
      <c r="BC7" s="57" t="e">
        <f t="shared" si="19"/>
        <v>#REF!</v>
      </c>
      <c r="BD7" s="56" t="e">
        <f t="shared" si="7"/>
        <v>#REF!</v>
      </c>
      <c r="BE7" s="56" t="e">
        <f t="shared" si="8"/>
        <v>#REF!</v>
      </c>
      <c r="BF7" s="56" t="e">
        <f t="shared" si="9"/>
        <v>#REF!</v>
      </c>
      <c r="BG7" s="56" t="e">
        <f t="shared" si="10"/>
        <v>#REF!</v>
      </c>
      <c r="BH7" s="56" t="e">
        <f t="shared" si="11"/>
        <v>#REF!</v>
      </c>
      <c r="BI7" s="56" t="e">
        <f t="shared" si="12"/>
        <v>#REF!</v>
      </c>
      <c r="BJ7" s="56" t="e">
        <f t="shared" si="12"/>
        <v>#REF!</v>
      </c>
    </row>
    <row r="8" spans="1:62" ht="17.55" customHeight="1">
      <c r="A8" s="86" t="s">
        <v>8</v>
      </c>
      <c r="B8" s="87">
        <v>14051.25</v>
      </c>
      <c r="C8" s="87">
        <v>13638.74</v>
      </c>
      <c r="D8" s="87">
        <v>13072.81</v>
      </c>
      <c r="E8" s="70">
        <f t="shared" ref="E8:O8" si="20">+E5+E6+E7</f>
        <v>16548.36</v>
      </c>
      <c r="F8" s="70" t="e">
        <f t="shared" si="20"/>
        <v>#REF!</v>
      </c>
      <c r="G8" s="70" t="e">
        <f t="shared" si="20"/>
        <v>#REF!</v>
      </c>
      <c r="H8" s="70" t="e">
        <f t="shared" si="20"/>
        <v>#REF!</v>
      </c>
      <c r="I8" s="70" t="e">
        <f t="shared" si="20"/>
        <v>#REF!</v>
      </c>
      <c r="J8" s="87" t="e">
        <f t="shared" si="20"/>
        <v>#REF!</v>
      </c>
      <c r="K8" s="87" t="e">
        <f t="shared" si="20"/>
        <v>#REF!</v>
      </c>
      <c r="L8" s="87" t="e">
        <f t="shared" si="20"/>
        <v>#REF!</v>
      </c>
      <c r="M8" s="87" t="e">
        <f t="shared" si="20"/>
        <v>#REF!</v>
      </c>
      <c r="N8" s="87" t="e">
        <f t="shared" si="20"/>
        <v>#REF!</v>
      </c>
      <c r="O8" s="87" t="e">
        <f t="shared" si="20"/>
        <v>#REF!</v>
      </c>
      <c r="P8" s="87" t="e">
        <f>+P5+P6+P7</f>
        <v>#REF!</v>
      </c>
      <c r="Q8" s="87" t="e">
        <f>+Q5+Q6+Q7</f>
        <v>#REF!</v>
      </c>
      <c r="R8" s="87" t="e">
        <f>+R5+R6+R7</f>
        <v>#REF!</v>
      </c>
      <c r="S8" s="53" t="e">
        <f t="shared" si="0"/>
        <v>#REF!</v>
      </c>
      <c r="T8" s="87" t="e">
        <f>+T5+T6+T7</f>
        <v>#REF!</v>
      </c>
      <c r="U8" s="48"/>
      <c r="V8" s="88">
        <f t="shared" si="13"/>
        <v>-2.9357530468819504</v>
      </c>
      <c r="W8" s="88">
        <f t="shared" si="13"/>
        <v>-4.1494302259592946</v>
      </c>
      <c r="X8" s="88">
        <f t="shared" si="13"/>
        <v>26.586097403695153</v>
      </c>
      <c r="Y8" s="88" t="e">
        <f t="shared" si="13"/>
        <v>#REF!</v>
      </c>
      <c r="Z8" s="88" t="e">
        <f t="shared" si="13"/>
        <v>#REF!</v>
      </c>
      <c r="AA8" s="88" t="e">
        <f t="shared" si="13"/>
        <v>#REF!</v>
      </c>
      <c r="AB8" s="88" t="e">
        <f t="shared" si="13"/>
        <v>#REF!</v>
      </c>
      <c r="AC8" s="88" t="e">
        <f t="shared" si="14"/>
        <v>#REF!</v>
      </c>
      <c r="AD8" s="88" t="e">
        <f t="shared" si="14"/>
        <v>#REF!</v>
      </c>
      <c r="AE8" s="88" t="e">
        <f t="shared" si="14"/>
        <v>#REF!</v>
      </c>
      <c r="AF8" s="325" t="e">
        <f t="shared" si="2"/>
        <v>#REF!</v>
      </c>
      <c r="AG8" s="325" t="e">
        <f>((#REF!/M8)-1)*100</f>
        <v>#REF!</v>
      </c>
      <c r="AH8" s="325" t="e">
        <f>((#REF!/M8)-1)*100</f>
        <v>#REF!</v>
      </c>
      <c r="AI8" s="325" t="e">
        <f>((#REF!/M8)-1)*100</f>
        <v>#REF!</v>
      </c>
      <c r="AJ8" s="56" t="e">
        <f>((#REF!/M8)-1)*100</f>
        <v>#REF!</v>
      </c>
      <c r="AK8" s="325" t="e">
        <f t="shared" si="15"/>
        <v>#REF!</v>
      </c>
      <c r="AL8" s="325" t="e">
        <f t="shared" si="16"/>
        <v>#REF!</v>
      </c>
      <c r="AM8" s="325" t="e">
        <f t="shared" si="17"/>
        <v>#REF!</v>
      </c>
      <c r="AN8" s="325" t="e">
        <f t="shared" si="18"/>
        <v>#REF!</v>
      </c>
      <c r="AO8" s="325" t="e">
        <f t="shared" si="3"/>
        <v>#REF!</v>
      </c>
      <c r="AP8" s="325" t="e">
        <f t="shared" si="4"/>
        <v>#REF!</v>
      </c>
      <c r="AQ8" s="325" t="e">
        <f t="shared" si="5"/>
        <v>#REF!</v>
      </c>
      <c r="AR8" s="88"/>
      <c r="AS8" s="88">
        <f t="shared" si="6"/>
        <v>24.087519917578295</v>
      </c>
      <c r="AT8" s="88">
        <f t="shared" si="6"/>
        <v>25.02977147946406</v>
      </c>
      <c r="AU8" s="88">
        <f t="shared" si="6"/>
        <v>22.360654391761006</v>
      </c>
      <c r="AV8" s="88">
        <f t="shared" si="6"/>
        <v>23.768101454321087</v>
      </c>
      <c r="AW8" s="88" t="e">
        <f t="shared" si="6"/>
        <v>#REF!</v>
      </c>
      <c r="AX8" s="88" t="e">
        <f t="shared" si="6"/>
        <v>#REF!</v>
      </c>
      <c r="AY8" s="88" t="e">
        <f t="shared" si="6"/>
        <v>#REF!</v>
      </c>
      <c r="AZ8" s="88" t="e">
        <f t="shared" si="6"/>
        <v>#REF!</v>
      </c>
      <c r="BA8" s="88" t="e">
        <f t="shared" si="6"/>
        <v>#REF!</v>
      </c>
      <c r="BB8" s="88" t="e">
        <f t="shared" si="6"/>
        <v>#REF!</v>
      </c>
      <c r="BC8" s="325" t="e">
        <f t="shared" si="19"/>
        <v>#REF!</v>
      </c>
      <c r="BD8" s="325" t="e">
        <f t="shared" si="7"/>
        <v>#REF!</v>
      </c>
      <c r="BE8" s="325" t="e">
        <f t="shared" si="8"/>
        <v>#REF!</v>
      </c>
      <c r="BF8" s="325" t="e">
        <f t="shared" si="9"/>
        <v>#REF!</v>
      </c>
      <c r="BG8" s="325" t="e">
        <f t="shared" si="10"/>
        <v>#REF!</v>
      </c>
      <c r="BH8" s="325" t="e">
        <f t="shared" si="11"/>
        <v>#REF!</v>
      </c>
      <c r="BI8" s="325" t="e">
        <f t="shared" si="12"/>
        <v>#REF!</v>
      </c>
      <c r="BJ8" s="325" t="e">
        <f t="shared" si="12"/>
        <v>#REF!</v>
      </c>
    </row>
    <row r="9" spans="1:62" ht="17.55" customHeight="1">
      <c r="A9" s="45" t="s">
        <v>10</v>
      </c>
      <c r="B9" s="53">
        <v>4367.45</v>
      </c>
      <c r="C9" s="53">
        <v>4336.22</v>
      </c>
      <c r="D9" s="53">
        <v>4538.9799999999996</v>
      </c>
      <c r="E9" s="53">
        <v>5248.8</v>
      </c>
      <c r="F9" s="53" t="e">
        <f>+#REF!</f>
        <v>#REF!</v>
      </c>
      <c r="G9" s="53" t="e">
        <f>+#REF!</f>
        <v>#REF!</v>
      </c>
      <c r="H9" s="53" t="e">
        <f>+#REF!</f>
        <v>#REF!</v>
      </c>
      <c r="I9" s="53" t="e">
        <f>+#REF!</f>
        <v>#REF!</v>
      </c>
      <c r="J9" s="53" t="e">
        <f>+#REF!</f>
        <v>#REF!</v>
      </c>
      <c r="K9" s="53" t="e">
        <f>+#REF!</f>
        <v>#REF!</v>
      </c>
      <c r="L9" s="53" t="e">
        <f>($L$23*BC9)/100</f>
        <v>#REF!</v>
      </c>
      <c r="M9" s="53" t="e">
        <f>+#REF!</f>
        <v>#REF!</v>
      </c>
      <c r="N9" s="53" t="e">
        <f>+#REF!</f>
        <v>#REF!</v>
      </c>
      <c r="O9" s="53" t="e">
        <f>+#REF!</f>
        <v>#REF!</v>
      </c>
      <c r="P9" s="53" t="e">
        <f>+#REF!</f>
        <v>#REF!</v>
      </c>
      <c r="Q9" s="53" t="e">
        <f>(Q$23*BJ9)/100</f>
        <v>#REF!</v>
      </c>
      <c r="R9" s="53" t="e">
        <f>(R$23*BH9)/100</f>
        <v>#REF!</v>
      </c>
      <c r="S9" s="53" t="e">
        <f t="shared" si="0"/>
        <v>#REF!</v>
      </c>
      <c r="T9" s="53" t="e">
        <f>+#REF!</f>
        <v>#REF!</v>
      </c>
      <c r="U9" s="71"/>
      <c r="V9" s="56">
        <f t="shared" si="13"/>
        <v>-0.71506256511235655</v>
      </c>
      <c r="W9" s="56">
        <f t="shared" si="13"/>
        <v>4.6759620129974699</v>
      </c>
      <c r="X9" s="56">
        <f t="shared" si="13"/>
        <v>15.638315216193966</v>
      </c>
      <c r="Y9" s="56" t="e">
        <f t="shared" si="13"/>
        <v>#REF!</v>
      </c>
      <c r="Z9" s="56" t="e">
        <f t="shared" si="13"/>
        <v>#REF!</v>
      </c>
      <c r="AA9" s="56" t="e">
        <f t="shared" si="13"/>
        <v>#REF!</v>
      </c>
      <c r="AB9" s="56" t="e">
        <f t="shared" si="13"/>
        <v>#REF!</v>
      </c>
      <c r="AC9" s="56" t="e">
        <f t="shared" si="14"/>
        <v>#REF!</v>
      </c>
      <c r="AD9" s="56" t="e">
        <f t="shared" si="14"/>
        <v>#REF!</v>
      </c>
      <c r="AE9" s="56" t="e">
        <f t="shared" si="14"/>
        <v>#REF!</v>
      </c>
      <c r="AF9" s="56" t="e">
        <f t="shared" si="2"/>
        <v>#REF!</v>
      </c>
      <c r="AG9" s="56" t="e">
        <f>((#REF!/M9)-1)*100</f>
        <v>#REF!</v>
      </c>
      <c r="AH9" s="56" t="e">
        <f>((#REF!/M9)-1)*100</f>
        <v>#REF!</v>
      </c>
      <c r="AI9" s="56" t="e">
        <f>((#REF!/M9)-1)*100</f>
        <v>#REF!</v>
      </c>
      <c r="AJ9" s="56" t="e">
        <f>((#REF!/M9)-1)*100</f>
        <v>#REF!</v>
      </c>
      <c r="AK9" s="56" t="e">
        <f t="shared" si="15"/>
        <v>#REF!</v>
      </c>
      <c r="AL9" s="56" t="e">
        <f t="shared" si="16"/>
        <v>#REF!</v>
      </c>
      <c r="AM9" s="56" t="e">
        <f t="shared" si="17"/>
        <v>#REF!</v>
      </c>
      <c r="AN9" s="56" t="e">
        <f t="shared" si="18"/>
        <v>#REF!</v>
      </c>
      <c r="AO9" s="56" t="e">
        <f t="shared" si="3"/>
        <v>#REF!</v>
      </c>
      <c r="AP9" s="56" t="e">
        <f t="shared" si="4"/>
        <v>#REF!</v>
      </c>
      <c r="AQ9" s="57" t="e">
        <f t="shared" si="5"/>
        <v>#REF!</v>
      </c>
      <c r="AR9" s="56"/>
      <c r="AS9" s="56">
        <f t="shared" si="6"/>
        <v>7.4869523255245847</v>
      </c>
      <c r="AT9" s="56">
        <f t="shared" si="6"/>
        <v>7.957816901317984</v>
      </c>
      <c r="AU9" s="56">
        <f t="shared" si="6"/>
        <v>7.7637908813113148</v>
      </c>
      <c r="AV9" s="56">
        <f t="shared" si="6"/>
        <v>7.5387537443855779</v>
      </c>
      <c r="AW9" s="56" t="e">
        <f t="shared" si="6"/>
        <v>#REF!</v>
      </c>
      <c r="AX9" s="56" t="e">
        <f t="shared" si="6"/>
        <v>#REF!</v>
      </c>
      <c r="AY9" s="56" t="e">
        <f t="shared" si="6"/>
        <v>#REF!</v>
      </c>
      <c r="AZ9" s="56" t="e">
        <f t="shared" si="6"/>
        <v>#REF!</v>
      </c>
      <c r="BA9" s="56" t="e">
        <f t="shared" si="6"/>
        <v>#REF!</v>
      </c>
      <c r="BB9" s="56" t="e">
        <f t="shared" si="6"/>
        <v>#REF!</v>
      </c>
      <c r="BC9" s="57" t="e">
        <f t="shared" si="19"/>
        <v>#REF!</v>
      </c>
      <c r="BD9" s="56" t="e">
        <f t="shared" si="7"/>
        <v>#REF!</v>
      </c>
      <c r="BE9" s="56" t="e">
        <f t="shared" si="8"/>
        <v>#REF!</v>
      </c>
      <c r="BF9" s="56" t="e">
        <f t="shared" si="9"/>
        <v>#REF!</v>
      </c>
      <c r="BG9" s="56" t="e">
        <f t="shared" si="10"/>
        <v>#REF!</v>
      </c>
      <c r="BH9" s="56" t="e">
        <f t="shared" si="11"/>
        <v>#REF!</v>
      </c>
      <c r="BI9" s="56" t="e">
        <f t="shared" si="12"/>
        <v>#REF!</v>
      </c>
      <c r="BJ9" s="56" t="e">
        <f t="shared" si="12"/>
        <v>#REF!</v>
      </c>
    </row>
    <row r="10" spans="1:62" ht="17.55" customHeight="1">
      <c r="A10" s="45" t="s">
        <v>12</v>
      </c>
      <c r="B10" s="53">
        <v>4907.5</v>
      </c>
      <c r="C10" s="53">
        <v>4320.21</v>
      </c>
      <c r="D10" s="53">
        <v>4674.41</v>
      </c>
      <c r="E10" s="53">
        <v>5303.15</v>
      </c>
      <c r="F10" s="53" t="e">
        <f>+#REF!</f>
        <v>#REF!</v>
      </c>
      <c r="G10" s="53" t="e">
        <f>+#REF!</f>
        <v>#REF!</v>
      </c>
      <c r="H10" s="53" t="e">
        <f>+#REF!</f>
        <v>#REF!</v>
      </c>
      <c r="I10" s="53" t="e">
        <f>+#REF!</f>
        <v>#REF!</v>
      </c>
      <c r="J10" s="53" t="e">
        <f>+#REF!</f>
        <v>#REF!</v>
      </c>
      <c r="K10" s="53" t="e">
        <f>+#REF!</f>
        <v>#REF!</v>
      </c>
      <c r="L10" s="53" t="e">
        <f>($L$23*BC10)/100</f>
        <v>#REF!</v>
      </c>
      <c r="M10" s="53" t="e">
        <f>+#REF!</f>
        <v>#REF!</v>
      </c>
      <c r="N10" s="53" t="e">
        <f>+#REF!</f>
        <v>#REF!</v>
      </c>
      <c r="O10" s="53" t="e">
        <f>+#REF!</f>
        <v>#REF!</v>
      </c>
      <c r="P10" s="53" t="e">
        <f>+#REF!</f>
        <v>#REF!</v>
      </c>
      <c r="Q10" s="53" t="e">
        <f>(Q$23*BJ10)/100</f>
        <v>#REF!</v>
      </c>
      <c r="R10" s="53" t="e">
        <f>(R$23*BH10)/100</f>
        <v>#REF!</v>
      </c>
      <c r="S10" s="53" t="e">
        <f t="shared" si="0"/>
        <v>#REF!</v>
      </c>
      <c r="T10" s="53" t="e">
        <f>+#REF!</f>
        <v>#REF!</v>
      </c>
      <c r="U10" s="71"/>
      <c r="V10" s="56">
        <f t="shared" si="13"/>
        <v>-11.967193071828831</v>
      </c>
      <c r="W10" s="56">
        <f t="shared" si="13"/>
        <v>8.1986755273470546</v>
      </c>
      <c r="X10" s="56">
        <f t="shared" si="13"/>
        <v>13.450681476378822</v>
      </c>
      <c r="Y10" s="56" t="e">
        <f t="shared" si="13"/>
        <v>#REF!</v>
      </c>
      <c r="Z10" s="56" t="e">
        <f t="shared" si="13"/>
        <v>#REF!</v>
      </c>
      <c r="AA10" s="56" t="e">
        <f t="shared" si="13"/>
        <v>#REF!</v>
      </c>
      <c r="AB10" s="56" t="e">
        <f t="shared" si="13"/>
        <v>#REF!</v>
      </c>
      <c r="AC10" s="56" t="e">
        <f t="shared" si="14"/>
        <v>#REF!</v>
      </c>
      <c r="AD10" s="56" t="e">
        <f t="shared" si="14"/>
        <v>#REF!</v>
      </c>
      <c r="AE10" s="56" t="e">
        <f t="shared" si="14"/>
        <v>#REF!</v>
      </c>
      <c r="AF10" s="56" t="e">
        <f t="shared" si="2"/>
        <v>#REF!</v>
      </c>
      <c r="AG10" s="56" t="e">
        <f>((#REF!/M10)-1)*100</f>
        <v>#REF!</v>
      </c>
      <c r="AH10" s="56" t="e">
        <f>((#REF!/M10)-1)*100</f>
        <v>#REF!</v>
      </c>
      <c r="AI10" s="56" t="e">
        <f>((#REF!/M10)-1)*100</f>
        <v>#REF!</v>
      </c>
      <c r="AJ10" s="56" t="e">
        <f>((#REF!/M10)-1)*100</f>
        <v>#REF!</v>
      </c>
      <c r="AK10" s="56" t="e">
        <f t="shared" si="15"/>
        <v>#REF!</v>
      </c>
      <c r="AL10" s="56" t="e">
        <f t="shared" si="16"/>
        <v>#REF!</v>
      </c>
      <c r="AM10" s="56" t="e">
        <f t="shared" si="17"/>
        <v>#REF!</v>
      </c>
      <c r="AN10" s="56" t="e">
        <f t="shared" si="18"/>
        <v>#REF!</v>
      </c>
      <c r="AO10" s="56" t="e">
        <f t="shared" si="3"/>
        <v>#REF!</v>
      </c>
      <c r="AP10" s="56" t="e">
        <f t="shared" si="4"/>
        <v>#REF!</v>
      </c>
      <c r="AQ10" s="57" t="e">
        <f t="shared" si="5"/>
        <v>#REF!</v>
      </c>
      <c r="AR10" s="56"/>
      <c r="AS10" s="56">
        <f t="shared" si="6"/>
        <v>8.412739364506038</v>
      </c>
      <c r="AT10" s="56">
        <f t="shared" si="6"/>
        <v>7.9284354011657534</v>
      </c>
      <c r="AU10" s="56">
        <f t="shared" si="6"/>
        <v>7.9954398859458351</v>
      </c>
      <c r="AV10" s="56">
        <f t="shared" si="6"/>
        <v>7.6168156377721328</v>
      </c>
      <c r="AW10" s="56" t="e">
        <f t="shared" si="6"/>
        <v>#REF!</v>
      </c>
      <c r="AX10" s="56" t="e">
        <f t="shared" si="6"/>
        <v>#REF!</v>
      </c>
      <c r="AY10" s="56" t="e">
        <f t="shared" si="6"/>
        <v>#REF!</v>
      </c>
      <c r="AZ10" s="56" t="e">
        <f t="shared" si="6"/>
        <v>#REF!</v>
      </c>
      <c r="BA10" s="56" t="e">
        <f t="shared" si="6"/>
        <v>#REF!</v>
      </c>
      <c r="BB10" s="56" t="e">
        <f t="shared" si="6"/>
        <v>#REF!</v>
      </c>
      <c r="BC10" s="57" t="e">
        <f t="shared" si="19"/>
        <v>#REF!</v>
      </c>
      <c r="BD10" s="56" t="e">
        <f t="shared" si="7"/>
        <v>#REF!</v>
      </c>
      <c r="BE10" s="56" t="e">
        <f t="shared" si="8"/>
        <v>#REF!</v>
      </c>
      <c r="BF10" s="56" t="e">
        <f t="shared" si="9"/>
        <v>#REF!</v>
      </c>
      <c r="BG10" s="56" t="e">
        <f t="shared" si="10"/>
        <v>#REF!</v>
      </c>
      <c r="BH10" s="56" t="e">
        <f t="shared" si="11"/>
        <v>#REF!</v>
      </c>
      <c r="BI10" s="56" t="e">
        <f t="shared" si="12"/>
        <v>#REF!</v>
      </c>
      <c r="BJ10" s="56" t="e">
        <f t="shared" si="12"/>
        <v>#REF!</v>
      </c>
    </row>
    <row r="11" spans="1:62" ht="17.55" customHeight="1">
      <c r="A11" s="45" t="s">
        <v>14</v>
      </c>
      <c r="B11" s="53">
        <v>4763.72</v>
      </c>
      <c r="C11" s="53">
        <v>4622.34</v>
      </c>
      <c r="D11" s="53">
        <v>4810.3999999999996</v>
      </c>
      <c r="E11" s="53">
        <v>5574.4</v>
      </c>
      <c r="F11" s="53" t="e">
        <f>+#REF!</f>
        <v>#REF!</v>
      </c>
      <c r="G11" s="53" t="e">
        <f>+#REF!</f>
        <v>#REF!</v>
      </c>
      <c r="H11" s="53" t="e">
        <f>+#REF!</f>
        <v>#REF!</v>
      </c>
      <c r="I11" s="53" t="e">
        <f>+#REF!</f>
        <v>#REF!</v>
      </c>
      <c r="J11" s="53" t="e">
        <f>+#REF!</f>
        <v>#REF!</v>
      </c>
      <c r="K11" s="53" t="e">
        <f>+#REF!</f>
        <v>#REF!</v>
      </c>
      <c r="L11" s="53" t="e">
        <f>($L$23*BC11)/100</f>
        <v>#REF!</v>
      </c>
      <c r="M11" s="53" t="e">
        <f>+#REF!</f>
        <v>#REF!</v>
      </c>
      <c r="N11" s="53" t="e">
        <f>+#REF!</f>
        <v>#REF!</v>
      </c>
      <c r="O11" s="53" t="e">
        <f>+#REF!</f>
        <v>#REF!</v>
      </c>
      <c r="P11" s="53" t="e">
        <f>+#REF!</f>
        <v>#REF!</v>
      </c>
      <c r="Q11" s="53" t="e">
        <f>(Q$23*BJ11)/100</f>
        <v>#REF!</v>
      </c>
      <c r="R11" s="53" t="e">
        <f>(R$23*BH11)/100</f>
        <v>#REF!</v>
      </c>
      <c r="S11" s="53" t="e">
        <f>+T11</f>
        <v>#REF!</v>
      </c>
      <c r="T11" s="53" t="e">
        <f>+#REF!</f>
        <v>#REF!</v>
      </c>
      <c r="U11" s="71"/>
      <c r="V11" s="56">
        <f t="shared" ref="V11:V23" si="21">((C11/B11)-1)*100</f>
        <v>-2.9678486560922979</v>
      </c>
      <c r="W11" s="56">
        <f t="shared" ref="W11:W23" si="22">((D11/C11)-1)*100</f>
        <v>4.0685021006676259</v>
      </c>
      <c r="X11" s="56">
        <f t="shared" ref="X11:X23" si="23">((E11/D11)-1)*100</f>
        <v>15.882255113919852</v>
      </c>
      <c r="Y11" s="56" t="e">
        <f t="shared" ref="Y11:Y23" si="24">((F11/E11)-1)*100</f>
        <v>#REF!</v>
      </c>
      <c r="Z11" s="56" t="e">
        <f t="shared" ref="Z11:Z23" si="25">((G11/F11)-1)*100</f>
        <v>#REF!</v>
      </c>
      <c r="AA11" s="57" t="e">
        <f t="shared" ref="AA11:AA23" si="26">((H11/G11)-1)*100</f>
        <v>#REF!</v>
      </c>
      <c r="AB11" s="56" t="e">
        <f t="shared" ref="AB11:AB23" si="27">((I11/H11)-1)*100</f>
        <v>#REF!</v>
      </c>
      <c r="AC11" s="56" t="e">
        <f t="shared" si="14"/>
        <v>#REF!</v>
      </c>
      <c r="AD11" s="56" t="e">
        <f t="shared" si="14"/>
        <v>#REF!</v>
      </c>
      <c r="AE11" s="56" t="e">
        <f t="shared" si="14"/>
        <v>#REF!</v>
      </c>
      <c r="AF11" s="56" t="e">
        <f t="shared" si="2"/>
        <v>#REF!</v>
      </c>
      <c r="AG11" s="56" t="e">
        <f>((#REF!/M11)-1)*100</f>
        <v>#REF!</v>
      </c>
      <c r="AH11" s="56" t="e">
        <f>((#REF!/M11)-1)*100</f>
        <v>#REF!</v>
      </c>
      <c r="AI11" s="56" t="e">
        <f>((#REF!/M11)-1)*100</f>
        <v>#REF!</v>
      </c>
      <c r="AJ11" s="56" t="e">
        <f>((#REF!/M11)-1)*100</f>
        <v>#REF!</v>
      </c>
      <c r="AK11" s="56" t="e">
        <f t="shared" si="15"/>
        <v>#REF!</v>
      </c>
      <c r="AL11" s="56" t="e">
        <f t="shared" si="16"/>
        <v>#REF!</v>
      </c>
      <c r="AM11" s="56" t="e">
        <f t="shared" si="17"/>
        <v>#REF!</v>
      </c>
      <c r="AN11" s="56" t="e">
        <f t="shared" si="18"/>
        <v>#REF!</v>
      </c>
      <c r="AO11" s="56" t="e">
        <f t="shared" si="3"/>
        <v>#REF!</v>
      </c>
      <c r="AP11" s="56" t="e">
        <f t="shared" si="4"/>
        <v>#REF!</v>
      </c>
      <c r="AQ11" s="57" t="e">
        <f t="shared" si="5"/>
        <v>#REF!</v>
      </c>
      <c r="AR11" s="56"/>
      <c r="AS11" s="56">
        <f t="shared" ref="AS11:AS23" si="28">+(B11/B$23)*100</f>
        <v>8.1662628151777295</v>
      </c>
      <c r="AT11" s="56">
        <f t="shared" ref="AT11:AT23" si="29">+(C11/C$23)*100</f>
        <v>8.4829033987293467</v>
      </c>
      <c r="AU11" s="56">
        <f t="shared" ref="AU11:AU23" si="30">+(D11/D$23)*100</f>
        <v>8.2280467539975817</v>
      </c>
      <c r="AV11" s="56">
        <f t="shared" ref="AV11:AV23" si="31">+(E11/E$23)*100</f>
        <v>8.0064069640113846</v>
      </c>
      <c r="AW11" s="56" t="e">
        <f t="shared" ref="AW11:AW23" si="32">+(F11/F$23)*100</f>
        <v>#REF!</v>
      </c>
      <c r="AX11" s="56" t="e">
        <f t="shared" ref="AX11:AX23" si="33">+(G11/G$23)*100</f>
        <v>#REF!</v>
      </c>
      <c r="AY11" s="57" t="e">
        <f t="shared" ref="AY11:AY23" si="34">+(H11/H$23)*100</f>
        <v>#REF!</v>
      </c>
      <c r="AZ11" s="56" t="e">
        <f t="shared" ref="AZ11:AZ23" si="35">+(I11/I$23)*100</f>
        <v>#REF!</v>
      </c>
      <c r="BA11" s="56" t="e">
        <f t="shared" ref="BA11:BA22" si="36">+(J11/J$23)*100</f>
        <v>#REF!</v>
      </c>
      <c r="BB11" s="56" t="e">
        <f t="shared" ref="BB11:BB23" si="37">+(K11/K$23)*100</f>
        <v>#REF!</v>
      </c>
      <c r="BC11" s="57" t="e">
        <f t="shared" si="19"/>
        <v>#REF!</v>
      </c>
      <c r="BD11" s="56" t="e">
        <f t="shared" si="7"/>
        <v>#REF!</v>
      </c>
      <c r="BE11" s="56" t="e">
        <f t="shared" si="8"/>
        <v>#REF!</v>
      </c>
      <c r="BF11" s="56" t="e">
        <f t="shared" si="9"/>
        <v>#REF!</v>
      </c>
      <c r="BG11" s="56" t="e">
        <f t="shared" si="10"/>
        <v>#REF!</v>
      </c>
      <c r="BH11" s="56" t="e">
        <f t="shared" si="11"/>
        <v>#REF!</v>
      </c>
      <c r="BI11" s="56" t="e">
        <f t="shared" si="12"/>
        <v>#REF!</v>
      </c>
      <c r="BJ11" s="56" t="e">
        <f t="shared" si="12"/>
        <v>#REF!</v>
      </c>
    </row>
    <row r="12" spans="1:62" ht="17.55" customHeight="1">
      <c r="A12" s="86" t="s">
        <v>15</v>
      </c>
      <c r="B12" s="87">
        <v>14038.67</v>
      </c>
      <c r="C12" s="87">
        <v>13278.77</v>
      </c>
      <c r="D12" s="87">
        <v>14023.79</v>
      </c>
      <c r="E12" s="70">
        <f t="shared" ref="E12:M12" si="38">+E9+E10+E11</f>
        <v>16126.35</v>
      </c>
      <c r="F12" s="70" t="e">
        <f t="shared" si="38"/>
        <v>#REF!</v>
      </c>
      <c r="G12" s="70" t="e">
        <f t="shared" si="38"/>
        <v>#REF!</v>
      </c>
      <c r="H12" s="70" t="e">
        <f t="shared" si="38"/>
        <v>#REF!</v>
      </c>
      <c r="I12" s="70" t="e">
        <f t="shared" si="38"/>
        <v>#REF!</v>
      </c>
      <c r="J12" s="87" t="e">
        <f t="shared" si="38"/>
        <v>#REF!</v>
      </c>
      <c r="K12" s="87" t="e">
        <f t="shared" si="38"/>
        <v>#REF!</v>
      </c>
      <c r="L12" s="87" t="e">
        <f t="shared" si="38"/>
        <v>#REF!</v>
      </c>
      <c r="M12" s="87" t="e">
        <f t="shared" si="38"/>
        <v>#REF!</v>
      </c>
      <c r="N12" s="87" t="e">
        <f t="shared" ref="N12:T12" si="39">+N9+N10+N11</f>
        <v>#REF!</v>
      </c>
      <c r="O12" s="87" t="e">
        <f t="shared" si="39"/>
        <v>#REF!</v>
      </c>
      <c r="P12" s="87" t="e">
        <f t="shared" si="39"/>
        <v>#REF!</v>
      </c>
      <c r="Q12" s="87" t="e">
        <f t="shared" si="39"/>
        <v>#REF!</v>
      </c>
      <c r="R12" s="87" t="e">
        <f t="shared" si="39"/>
        <v>#REF!</v>
      </c>
      <c r="S12" s="87" t="e">
        <f t="shared" si="39"/>
        <v>#REF!</v>
      </c>
      <c r="T12" s="87" t="e">
        <f t="shared" si="39"/>
        <v>#REF!</v>
      </c>
      <c r="U12" s="48"/>
      <c r="V12" s="88">
        <f t="shared" si="21"/>
        <v>-5.4129059234243719</v>
      </c>
      <c r="W12" s="88">
        <f t="shared" si="22"/>
        <v>5.6106100188496377</v>
      </c>
      <c r="X12" s="88">
        <f t="shared" si="23"/>
        <v>14.992808648731891</v>
      </c>
      <c r="Y12" s="88" t="e">
        <f t="shared" si="24"/>
        <v>#REF!</v>
      </c>
      <c r="Z12" s="88" t="e">
        <f t="shared" si="25"/>
        <v>#REF!</v>
      </c>
      <c r="AA12" s="325" t="e">
        <f t="shared" si="26"/>
        <v>#REF!</v>
      </c>
      <c r="AB12" s="88" t="e">
        <f t="shared" si="27"/>
        <v>#REF!</v>
      </c>
      <c r="AC12" s="88" t="e">
        <f t="shared" si="14"/>
        <v>#REF!</v>
      </c>
      <c r="AD12" s="88" t="e">
        <f t="shared" si="14"/>
        <v>#REF!</v>
      </c>
      <c r="AE12" s="88" t="e">
        <f t="shared" si="14"/>
        <v>#REF!</v>
      </c>
      <c r="AF12" s="325" t="e">
        <f t="shared" si="2"/>
        <v>#REF!</v>
      </c>
      <c r="AG12" s="325" t="e">
        <f>((#REF!/M12)-1)*100</f>
        <v>#REF!</v>
      </c>
      <c r="AH12" s="325" t="e">
        <f>((#REF!/M12)-1)*100</f>
        <v>#REF!</v>
      </c>
      <c r="AI12" s="325" t="e">
        <f>((#REF!/M12)-1)*100</f>
        <v>#REF!</v>
      </c>
      <c r="AJ12" s="56" t="e">
        <f>((#REF!/M12)-1)*100</f>
        <v>#REF!</v>
      </c>
      <c r="AK12" s="325" t="e">
        <f t="shared" si="15"/>
        <v>#REF!</v>
      </c>
      <c r="AL12" s="325" t="e">
        <f t="shared" si="16"/>
        <v>#REF!</v>
      </c>
      <c r="AM12" s="325" t="e">
        <f t="shared" si="17"/>
        <v>#REF!</v>
      </c>
      <c r="AN12" s="325" t="e">
        <f t="shared" si="18"/>
        <v>#REF!</v>
      </c>
      <c r="AO12" s="325" t="e">
        <f t="shared" si="3"/>
        <v>#REF!</v>
      </c>
      <c r="AP12" s="325" t="e">
        <f t="shared" si="4"/>
        <v>#REF!</v>
      </c>
      <c r="AQ12" s="325" t="e">
        <f t="shared" si="5"/>
        <v>#REF!</v>
      </c>
      <c r="AR12" s="88"/>
      <c r="AS12" s="88">
        <f t="shared" si="28"/>
        <v>24.065954505208357</v>
      </c>
      <c r="AT12" s="88">
        <f t="shared" si="29"/>
        <v>24.369155701213085</v>
      </c>
      <c r="AU12" s="88">
        <f t="shared" si="30"/>
        <v>23.987277521254736</v>
      </c>
      <c r="AV12" s="88">
        <f t="shared" si="31"/>
        <v>23.161976346169098</v>
      </c>
      <c r="AW12" s="88" t="e">
        <f t="shared" si="32"/>
        <v>#REF!</v>
      </c>
      <c r="AX12" s="88" t="e">
        <f t="shared" si="33"/>
        <v>#REF!</v>
      </c>
      <c r="AY12" s="325" t="e">
        <f t="shared" si="34"/>
        <v>#REF!</v>
      </c>
      <c r="AZ12" s="88" t="e">
        <f t="shared" si="35"/>
        <v>#REF!</v>
      </c>
      <c r="BA12" s="88" t="e">
        <f t="shared" si="36"/>
        <v>#REF!</v>
      </c>
      <c r="BB12" s="88" t="e">
        <f t="shared" si="37"/>
        <v>#REF!</v>
      </c>
      <c r="BC12" s="325" t="e">
        <f t="shared" si="19"/>
        <v>#REF!</v>
      </c>
      <c r="BD12" s="325" t="e">
        <f t="shared" si="7"/>
        <v>#REF!</v>
      </c>
      <c r="BE12" s="325" t="e">
        <f t="shared" si="8"/>
        <v>#REF!</v>
      </c>
      <c r="BF12" s="325" t="e">
        <f t="shared" si="9"/>
        <v>#REF!</v>
      </c>
      <c r="BG12" s="325" t="e">
        <f t="shared" si="10"/>
        <v>#REF!</v>
      </c>
      <c r="BH12" s="325" t="e">
        <f t="shared" si="11"/>
        <v>#REF!</v>
      </c>
      <c r="BI12" s="325" t="e">
        <f t="shared" si="12"/>
        <v>#REF!</v>
      </c>
      <c r="BJ12" s="325" t="e">
        <f t="shared" si="12"/>
        <v>#REF!</v>
      </c>
    </row>
    <row r="13" spans="1:62" ht="17.55" customHeight="1">
      <c r="A13" s="86" t="s">
        <v>16</v>
      </c>
      <c r="B13" s="87">
        <v>28089.919999999998</v>
      </c>
      <c r="C13" s="87">
        <v>26917.51</v>
      </c>
      <c r="D13" s="87">
        <v>27096.6</v>
      </c>
      <c r="E13" s="87">
        <f t="shared" ref="E13:M13" si="40">+E12+E8</f>
        <v>32674.71</v>
      </c>
      <c r="F13" s="87" t="e">
        <f t="shared" si="40"/>
        <v>#REF!</v>
      </c>
      <c r="G13" s="87" t="e">
        <f t="shared" si="40"/>
        <v>#REF!</v>
      </c>
      <c r="H13" s="87" t="e">
        <f t="shared" si="40"/>
        <v>#REF!</v>
      </c>
      <c r="I13" s="87" t="e">
        <f t="shared" si="40"/>
        <v>#REF!</v>
      </c>
      <c r="J13" s="87" t="e">
        <f t="shared" si="40"/>
        <v>#REF!</v>
      </c>
      <c r="K13" s="87" t="e">
        <f t="shared" si="40"/>
        <v>#REF!</v>
      </c>
      <c r="L13" s="87" t="e">
        <f t="shared" si="40"/>
        <v>#REF!</v>
      </c>
      <c r="M13" s="87" t="e">
        <f t="shared" si="40"/>
        <v>#REF!</v>
      </c>
      <c r="N13" s="87" t="e">
        <f t="shared" ref="N13:T13" si="41">+N12+N8</f>
        <v>#REF!</v>
      </c>
      <c r="O13" s="87" t="e">
        <f t="shared" si="41"/>
        <v>#REF!</v>
      </c>
      <c r="P13" s="87" t="e">
        <f t="shared" si="41"/>
        <v>#REF!</v>
      </c>
      <c r="Q13" s="87" t="e">
        <f t="shared" si="41"/>
        <v>#REF!</v>
      </c>
      <c r="R13" s="87" t="e">
        <f t="shared" si="41"/>
        <v>#REF!</v>
      </c>
      <c r="S13" s="87" t="e">
        <f t="shared" si="41"/>
        <v>#REF!</v>
      </c>
      <c r="T13" s="87" t="e">
        <f t="shared" si="41"/>
        <v>#REF!</v>
      </c>
      <c r="U13" s="48"/>
      <c r="V13" s="88">
        <f t="shared" si="21"/>
        <v>-4.1737747918114358</v>
      </c>
      <c r="W13" s="88">
        <f t="shared" si="22"/>
        <v>0.66532899959914626</v>
      </c>
      <c r="X13" s="88">
        <f t="shared" si="23"/>
        <v>20.586014481521666</v>
      </c>
      <c r="Y13" s="88" t="e">
        <f t="shared" si="24"/>
        <v>#REF!</v>
      </c>
      <c r="Z13" s="88" t="e">
        <f t="shared" si="25"/>
        <v>#REF!</v>
      </c>
      <c r="AA13" s="325" t="e">
        <f t="shared" si="26"/>
        <v>#REF!</v>
      </c>
      <c r="AB13" s="88" t="e">
        <f t="shared" si="27"/>
        <v>#REF!</v>
      </c>
      <c r="AC13" s="88" t="e">
        <f t="shared" si="14"/>
        <v>#REF!</v>
      </c>
      <c r="AD13" s="88" t="e">
        <f t="shared" si="14"/>
        <v>#REF!</v>
      </c>
      <c r="AE13" s="88" t="e">
        <f t="shared" si="14"/>
        <v>#REF!</v>
      </c>
      <c r="AF13" s="325" t="e">
        <f t="shared" si="2"/>
        <v>#REF!</v>
      </c>
      <c r="AG13" s="325" t="e">
        <f>((#REF!/M13)-1)*100</f>
        <v>#REF!</v>
      </c>
      <c r="AH13" s="325" t="e">
        <f>((#REF!/M13)-1)*100</f>
        <v>#REF!</v>
      </c>
      <c r="AI13" s="325" t="e">
        <f>((#REF!/M13)-1)*100</f>
        <v>#REF!</v>
      </c>
      <c r="AJ13" s="56" t="e">
        <f>((#REF!/M13)-1)*100</f>
        <v>#REF!</v>
      </c>
      <c r="AK13" s="325" t="e">
        <f t="shared" si="15"/>
        <v>#REF!</v>
      </c>
      <c r="AL13" s="325" t="e">
        <f t="shared" si="16"/>
        <v>#REF!</v>
      </c>
      <c r="AM13" s="325" t="e">
        <f t="shared" si="17"/>
        <v>#REF!</v>
      </c>
      <c r="AN13" s="325" t="e">
        <f t="shared" si="18"/>
        <v>#REF!</v>
      </c>
      <c r="AO13" s="325" t="e">
        <f t="shared" si="3"/>
        <v>#REF!</v>
      </c>
      <c r="AP13" s="325" t="e">
        <f t="shared" si="4"/>
        <v>#REF!</v>
      </c>
      <c r="AQ13" s="325" t="e">
        <f t="shared" si="5"/>
        <v>#REF!</v>
      </c>
      <c r="AR13" s="88"/>
      <c r="AS13" s="88">
        <f t="shared" si="28"/>
        <v>48.153474422786644</v>
      </c>
      <c r="AT13" s="88">
        <f t="shared" si="29"/>
        <v>49.398927180677141</v>
      </c>
      <c r="AU13" s="88">
        <f t="shared" si="30"/>
        <v>46.347931913015742</v>
      </c>
      <c r="AV13" s="88">
        <f t="shared" si="31"/>
        <v>46.930077800490174</v>
      </c>
      <c r="AW13" s="88" t="e">
        <f t="shared" si="32"/>
        <v>#REF!</v>
      </c>
      <c r="AX13" s="88" t="e">
        <f t="shared" si="33"/>
        <v>#REF!</v>
      </c>
      <c r="AY13" s="325" t="e">
        <f t="shared" si="34"/>
        <v>#REF!</v>
      </c>
      <c r="AZ13" s="88" t="e">
        <f t="shared" si="35"/>
        <v>#REF!</v>
      </c>
      <c r="BA13" s="88" t="e">
        <f t="shared" si="36"/>
        <v>#REF!</v>
      </c>
      <c r="BB13" s="88" t="e">
        <f t="shared" si="37"/>
        <v>#REF!</v>
      </c>
      <c r="BC13" s="325" t="e">
        <f t="shared" si="19"/>
        <v>#REF!</v>
      </c>
      <c r="BD13" s="325" t="e">
        <f t="shared" si="7"/>
        <v>#REF!</v>
      </c>
      <c r="BE13" s="325" t="e">
        <f t="shared" si="8"/>
        <v>#REF!</v>
      </c>
      <c r="BF13" s="325" t="e">
        <f t="shared" si="9"/>
        <v>#REF!</v>
      </c>
      <c r="BG13" s="325" t="e">
        <f t="shared" si="10"/>
        <v>#REF!</v>
      </c>
      <c r="BH13" s="325" t="e">
        <f t="shared" si="11"/>
        <v>#REF!</v>
      </c>
      <c r="BI13" s="325" t="e">
        <f t="shared" si="12"/>
        <v>#REF!</v>
      </c>
      <c r="BJ13" s="325" t="e">
        <f t="shared" si="12"/>
        <v>#REF!</v>
      </c>
    </row>
    <row r="14" spans="1:62" ht="17.55" customHeight="1">
      <c r="A14" s="45" t="s">
        <v>17</v>
      </c>
      <c r="B14" s="53">
        <v>4881.54</v>
      </c>
      <c r="C14" s="53">
        <v>4686.3</v>
      </c>
      <c r="D14" s="53">
        <v>5056.12</v>
      </c>
      <c r="E14" s="53">
        <v>6135.21</v>
      </c>
      <c r="F14" s="53" t="e">
        <f>+#REF!</f>
        <v>#REF!</v>
      </c>
      <c r="G14" s="53" t="e">
        <f>+#REF!</f>
        <v>#REF!</v>
      </c>
      <c r="H14" s="53" t="e">
        <f>+#REF!</f>
        <v>#REF!</v>
      </c>
      <c r="I14" s="53" t="e">
        <f>+#REF!</f>
        <v>#REF!</v>
      </c>
      <c r="J14" s="53" t="e">
        <f>+#REF!</f>
        <v>#REF!</v>
      </c>
      <c r="K14" s="53" t="e">
        <f>+#REF!</f>
        <v>#REF!</v>
      </c>
      <c r="L14" s="53" t="e">
        <f>($L$23*BC14)/100</f>
        <v>#REF!</v>
      </c>
      <c r="M14" s="53" t="e">
        <f>+#REF!</f>
        <v>#REF!</v>
      </c>
      <c r="N14" s="53" t="e">
        <f>+#REF!</f>
        <v>#REF!</v>
      </c>
      <c r="O14" s="53" t="e">
        <f>+#REF!</f>
        <v>#REF!</v>
      </c>
      <c r="P14" s="53" t="e">
        <f>+#REF!</f>
        <v>#REF!</v>
      </c>
      <c r="Q14" s="53" t="e">
        <f>(Q$23*BJ14)/100</f>
        <v>#REF!</v>
      </c>
      <c r="R14" s="53" t="e">
        <f>(R$23*BH14)/100</f>
        <v>#REF!</v>
      </c>
      <c r="S14" s="53" t="e">
        <f>+#REF!</f>
        <v>#REF!</v>
      </c>
      <c r="T14" s="53" t="e">
        <f>+S14</f>
        <v>#REF!</v>
      </c>
      <c r="U14" s="71"/>
      <c r="V14" s="56">
        <f t="shared" si="21"/>
        <v>-3.9995575166853037</v>
      </c>
      <c r="W14" s="56">
        <f t="shared" si="22"/>
        <v>7.8915135608048859</v>
      </c>
      <c r="X14" s="56">
        <f t="shared" si="23"/>
        <v>21.342254535098061</v>
      </c>
      <c r="Y14" s="56" t="e">
        <f t="shared" si="24"/>
        <v>#REF!</v>
      </c>
      <c r="Z14" s="56" t="e">
        <f t="shared" si="25"/>
        <v>#REF!</v>
      </c>
      <c r="AA14" s="57" t="e">
        <f t="shared" si="26"/>
        <v>#REF!</v>
      </c>
      <c r="AB14" s="56" t="e">
        <f t="shared" si="27"/>
        <v>#REF!</v>
      </c>
      <c r="AC14" s="56" t="e">
        <f t="shared" si="14"/>
        <v>#REF!</v>
      </c>
      <c r="AD14" s="56" t="e">
        <f t="shared" si="14"/>
        <v>#REF!</v>
      </c>
      <c r="AE14" s="56" t="e">
        <f t="shared" si="14"/>
        <v>#REF!</v>
      </c>
      <c r="AF14" s="56" t="e">
        <f t="shared" si="2"/>
        <v>#REF!</v>
      </c>
      <c r="AG14" s="56" t="e">
        <f>((#REF!/M14)-1)*100</f>
        <v>#REF!</v>
      </c>
      <c r="AH14" s="56" t="e">
        <f>((#REF!/M14)-1)*100</f>
        <v>#REF!</v>
      </c>
      <c r="AI14" s="56" t="e">
        <f>((#REF!/M14)-1)*100</f>
        <v>#REF!</v>
      </c>
      <c r="AJ14" s="56" t="e">
        <f>((#REF!/M14)-1)*100</f>
        <v>#REF!</v>
      </c>
      <c r="AK14" s="56" t="e">
        <f t="shared" si="15"/>
        <v>#REF!</v>
      </c>
      <c r="AL14" s="57" t="e">
        <f t="shared" si="16"/>
        <v>#REF!</v>
      </c>
      <c r="AM14" s="56" t="e">
        <f t="shared" si="17"/>
        <v>#REF!</v>
      </c>
      <c r="AN14" s="56" t="e">
        <f t="shared" si="18"/>
        <v>#REF!</v>
      </c>
      <c r="AO14" s="56" t="e">
        <f t="shared" si="3"/>
        <v>#REF!</v>
      </c>
      <c r="AP14" s="56" t="e">
        <f t="shared" si="4"/>
        <v>#REF!</v>
      </c>
      <c r="AQ14" s="57" t="e">
        <f t="shared" si="5"/>
        <v>#REF!</v>
      </c>
      <c r="AR14" s="56"/>
      <c r="AS14" s="56">
        <f t="shared" si="28"/>
        <v>8.3682371303944603</v>
      </c>
      <c r="AT14" s="56">
        <f t="shared" si="29"/>
        <v>8.6002825835973429</v>
      </c>
      <c r="AU14" s="56">
        <f t="shared" si="30"/>
        <v>8.6483435377145899</v>
      </c>
      <c r="AV14" s="56">
        <f t="shared" si="31"/>
        <v>8.8118879286869074</v>
      </c>
      <c r="AW14" s="56" t="e">
        <f t="shared" si="32"/>
        <v>#REF!</v>
      </c>
      <c r="AX14" s="56" t="e">
        <f t="shared" si="33"/>
        <v>#REF!</v>
      </c>
      <c r="AY14" s="57" t="e">
        <f t="shared" si="34"/>
        <v>#REF!</v>
      </c>
      <c r="AZ14" s="56" t="e">
        <f t="shared" si="35"/>
        <v>#REF!</v>
      </c>
      <c r="BA14" s="56" t="e">
        <f t="shared" si="36"/>
        <v>#REF!</v>
      </c>
      <c r="BB14" s="56" t="e">
        <f t="shared" si="37"/>
        <v>#REF!</v>
      </c>
      <c r="BC14" s="57" t="e">
        <f t="shared" si="19"/>
        <v>#REF!</v>
      </c>
      <c r="BD14" s="56" t="e">
        <f t="shared" si="7"/>
        <v>#REF!</v>
      </c>
      <c r="BE14" s="56" t="e">
        <f t="shared" si="8"/>
        <v>#REF!</v>
      </c>
      <c r="BF14" s="56" t="e">
        <f t="shared" si="9"/>
        <v>#REF!</v>
      </c>
      <c r="BG14" s="56" t="e">
        <f t="shared" si="10"/>
        <v>#REF!</v>
      </c>
      <c r="BH14" s="56" t="e">
        <f t="shared" si="11"/>
        <v>#REF!</v>
      </c>
      <c r="BI14" s="56" t="e">
        <f t="shared" si="12"/>
        <v>#REF!</v>
      </c>
      <c r="BJ14" s="56" t="e">
        <f t="shared" si="12"/>
        <v>#REF!</v>
      </c>
    </row>
    <row r="15" spans="1:62" ht="17.55" customHeight="1">
      <c r="A15" s="45" t="s">
        <v>20</v>
      </c>
      <c r="B15" s="53">
        <v>4954.97</v>
      </c>
      <c r="C15" s="53">
        <v>4346.53</v>
      </c>
      <c r="D15" s="53">
        <v>4983.12</v>
      </c>
      <c r="E15" s="53">
        <v>6279.37</v>
      </c>
      <c r="F15" s="53" t="e">
        <f>+#REF!</f>
        <v>#REF!</v>
      </c>
      <c r="G15" s="53" t="e">
        <f>+#REF!</f>
        <v>#REF!</v>
      </c>
      <c r="H15" s="53" t="e">
        <f>+#REF!</f>
        <v>#REF!</v>
      </c>
      <c r="I15" s="53" t="e">
        <f>+#REF!</f>
        <v>#REF!</v>
      </c>
      <c r="J15" s="53" t="e">
        <f>+#REF!</f>
        <v>#REF!</v>
      </c>
      <c r="K15" s="53" t="e">
        <f>+#REF!</f>
        <v>#REF!</v>
      </c>
      <c r="L15" s="53" t="e">
        <f>($L$23*BC15)/100</f>
        <v>#REF!</v>
      </c>
      <c r="M15" s="53" t="e">
        <f>+#REF!</f>
        <v>#REF!</v>
      </c>
      <c r="N15" s="53" t="e">
        <f>+#REF!</f>
        <v>#REF!</v>
      </c>
      <c r="O15" s="53" t="e">
        <f>+#REF!</f>
        <v>#REF!</v>
      </c>
      <c r="P15" s="53" t="e">
        <f>+#REF!</f>
        <v>#REF!</v>
      </c>
      <c r="Q15" s="53" t="e">
        <f>(Q$23*BJ15)/100</f>
        <v>#REF!</v>
      </c>
      <c r="R15" s="53" t="e">
        <f>(R$23*BH15)/100</f>
        <v>#REF!</v>
      </c>
      <c r="S15" s="53" t="e">
        <f>+#REF!</f>
        <v>#REF!</v>
      </c>
      <c r="T15" s="53" t="e">
        <f>+S15</f>
        <v>#REF!</v>
      </c>
      <c r="U15" s="71"/>
      <c r="V15" s="56">
        <f t="shared" si="21"/>
        <v>-12.279388169857752</v>
      </c>
      <c r="W15" s="56">
        <f t="shared" si="22"/>
        <v>14.645935953507738</v>
      </c>
      <c r="X15" s="56">
        <f t="shared" si="23"/>
        <v>26.012819277882127</v>
      </c>
      <c r="Y15" s="56" t="e">
        <f t="shared" si="24"/>
        <v>#REF!</v>
      </c>
      <c r="Z15" s="56" t="e">
        <f t="shared" si="25"/>
        <v>#REF!</v>
      </c>
      <c r="AA15" s="57" t="e">
        <f t="shared" si="26"/>
        <v>#REF!</v>
      </c>
      <c r="AB15" s="56" t="e">
        <f t="shared" si="27"/>
        <v>#REF!</v>
      </c>
      <c r="AC15" s="56" t="e">
        <f t="shared" si="14"/>
        <v>#REF!</v>
      </c>
      <c r="AD15" s="56" t="e">
        <f t="shared" si="14"/>
        <v>#REF!</v>
      </c>
      <c r="AE15" s="56" t="e">
        <f t="shared" si="14"/>
        <v>#REF!</v>
      </c>
      <c r="AF15" s="56" t="e">
        <f t="shared" si="2"/>
        <v>#REF!</v>
      </c>
      <c r="AG15" s="56" t="e">
        <f>((#REF!/M15)-1)*100</f>
        <v>#REF!</v>
      </c>
      <c r="AH15" s="56" t="e">
        <f>((#REF!/M15)-1)*100</f>
        <v>#REF!</v>
      </c>
      <c r="AI15" s="56" t="e">
        <f>((#REF!/M15)-1)*100</f>
        <v>#REF!</v>
      </c>
      <c r="AJ15" s="56" t="e">
        <f>((#REF!/M15)-1)*100</f>
        <v>#REF!</v>
      </c>
      <c r="AK15" s="56" t="e">
        <f t="shared" si="15"/>
        <v>#REF!</v>
      </c>
      <c r="AL15" s="57" t="e">
        <f t="shared" si="16"/>
        <v>#REF!</v>
      </c>
      <c r="AM15" s="56" t="e">
        <f t="shared" si="17"/>
        <v>#REF!</v>
      </c>
      <c r="AN15" s="56" t="e">
        <f t="shared" si="18"/>
        <v>#REF!</v>
      </c>
      <c r="AO15" s="56" t="e">
        <f t="shared" si="3"/>
        <v>#REF!</v>
      </c>
      <c r="AP15" s="56" t="e">
        <f t="shared" si="4"/>
        <v>#REF!</v>
      </c>
      <c r="AQ15" s="57" t="e">
        <f t="shared" si="5"/>
        <v>#REF!</v>
      </c>
      <c r="AR15" s="56"/>
      <c r="AS15" s="56">
        <f t="shared" si="28"/>
        <v>8.4941153680991324</v>
      </c>
      <c r="AT15" s="56">
        <f t="shared" si="29"/>
        <v>7.9767377799294437</v>
      </c>
      <c r="AU15" s="56">
        <f t="shared" si="30"/>
        <v>8.5234791993972312</v>
      </c>
      <c r="AV15" s="56">
        <f t="shared" si="31"/>
        <v>9.0189422534450649</v>
      </c>
      <c r="AW15" s="56" t="e">
        <f t="shared" si="32"/>
        <v>#REF!</v>
      </c>
      <c r="AX15" s="56" t="e">
        <f t="shared" si="33"/>
        <v>#REF!</v>
      </c>
      <c r="AY15" s="57" t="e">
        <f t="shared" si="34"/>
        <v>#REF!</v>
      </c>
      <c r="AZ15" s="56" t="e">
        <f t="shared" si="35"/>
        <v>#REF!</v>
      </c>
      <c r="BA15" s="56" t="e">
        <f t="shared" si="36"/>
        <v>#REF!</v>
      </c>
      <c r="BB15" s="56" t="e">
        <f t="shared" si="37"/>
        <v>#REF!</v>
      </c>
      <c r="BC15" s="57" t="e">
        <f t="shared" si="19"/>
        <v>#REF!</v>
      </c>
      <c r="BD15" s="56" t="e">
        <f t="shared" si="7"/>
        <v>#REF!</v>
      </c>
      <c r="BE15" s="56" t="e">
        <f t="shared" si="8"/>
        <v>#REF!</v>
      </c>
      <c r="BF15" s="56" t="e">
        <f t="shared" si="9"/>
        <v>#REF!</v>
      </c>
      <c r="BG15" s="56" t="e">
        <f t="shared" si="10"/>
        <v>#REF!</v>
      </c>
      <c r="BH15" s="56" t="e">
        <f t="shared" si="11"/>
        <v>#REF!</v>
      </c>
      <c r="BI15" s="56" t="e">
        <f t="shared" si="12"/>
        <v>#REF!</v>
      </c>
      <c r="BJ15" s="56" t="e">
        <f t="shared" si="12"/>
        <v>#REF!</v>
      </c>
    </row>
    <row r="16" spans="1:62" ht="17.55" customHeight="1">
      <c r="A16" s="45" t="s">
        <v>22</v>
      </c>
      <c r="B16" s="53">
        <v>5139.1000000000004</v>
      </c>
      <c r="C16" s="53">
        <v>4675.63</v>
      </c>
      <c r="D16" s="53">
        <v>5161.04</v>
      </c>
      <c r="E16" s="53">
        <v>6089.38</v>
      </c>
      <c r="F16" s="53" t="e">
        <f>+#REF!</f>
        <v>#REF!</v>
      </c>
      <c r="G16" s="53" t="e">
        <f>+#REF!</f>
        <v>#REF!</v>
      </c>
      <c r="H16" s="53" t="e">
        <f>+#REF!</f>
        <v>#REF!</v>
      </c>
      <c r="I16" s="53" t="e">
        <f>+#REF!</f>
        <v>#REF!</v>
      </c>
      <c r="J16" s="53" t="e">
        <f>+#REF!</f>
        <v>#REF!</v>
      </c>
      <c r="K16" s="53" t="e">
        <f>+#REF!</f>
        <v>#REF!</v>
      </c>
      <c r="L16" s="53" t="e">
        <f>($L$23*BC16)/100</f>
        <v>#REF!</v>
      </c>
      <c r="M16" s="53" t="e">
        <f>+#REF!</f>
        <v>#REF!</v>
      </c>
      <c r="N16" s="53" t="e">
        <f>+#REF!</f>
        <v>#REF!</v>
      </c>
      <c r="O16" s="53" t="e">
        <f>+#REF!</f>
        <v>#REF!</v>
      </c>
      <c r="P16" s="53" t="e">
        <f>+#REF!</f>
        <v>#REF!</v>
      </c>
      <c r="Q16" s="53" t="e">
        <f>(Q$23*BJ16)/100</f>
        <v>#REF!</v>
      </c>
      <c r="R16" s="53" t="e">
        <f>(R$23*BH16)/100</f>
        <v>#REF!</v>
      </c>
      <c r="S16" s="53" t="e">
        <f>+#REF!</f>
        <v>#REF!</v>
      </c>
      <c r="T16" s="53" t="e">
        <f>+S16</f>
        <v>#REF!</v>
      </c>
      <c r="U16" s="71"/>
      <c r="V16" s="57">
        <f t="shared" si="21"/>
        <v>-9.0185051857329164</v>
      </c>
      <c r="W16" s="57">
        <f t="shared" si="22"/>
        <v>10.381702572701435</v>
      </c>
      <c r="X16" s="57">
        <f t="shared" si="23"/>
        <v>17.987459891804747</v>
      </c>
      <c r="Y16" s="57" t="e">
        <f t="shared" si="24"/>
        <v>#REF!</v>
      </c>
      <c r="Z16" s="57" t="e">
        <f t="shared" si="25"/>
        <v>#REF!</v>
      </c>
      <c r="AA16" s="57" t="e">
        <f t="shared" si="26"/>
        <v>#REF!</v>
      </c>
      <c r="AB16" s="56" t="e">
        <f t="shared" si="27"/>
        <v>#REF!</v>
      </c>
      <c r="AC16" s="56" t="e">
        <f t="shared" si="14"/>
        <v>#REF!</v>
      </c>
      <c r="AD16" s="56" t="e">
        <f t="shared" si="14"/>
        <v>#REF!</v>
      </c>
      <c r="AE16" s="56" t="e">
        <f t="shared" si="14"/>
        <v>#REF!</v>
      </c>
      <c r="AF16" s="56" t="e">
        <f t="shared" si="2"/>
        <v>#REF!</v>
      </c>
      <c r="AG16" s="56" t="e">
        <f>((#REF!/M16)-1)*100</f>
        <v>#REF!</v>
      </c>
      <c r="AH16" s="56" t="e">
        <f>((#REF!/M16)-1)*100</f>
        <v>#REF!</v>
      </c>
      <c r="AI16" s="56" t="e">
        <f>((#REF!/M16)-1)*100</f>
        <v>#REF!</v>
      </c>
      <c r="AJ16" s="56" t="e">
        <f>((#REF!/M16)-1)*100</f>
        <v>#REF!</v>
      </c>
      <c r="AK16" s="56" t="e">
        <f t="shared" si="15"/>
        <v>#REF!</v>
      </c>
      <c r="AL16" s="57" t="e">
        <f t="shared" si="16"/>
        <v>#REF!</v>
      </c>
      <c r="AM16" s="56" t="e">
        <f t="shared" si="17"/>
        <v>#REF!</v>
      </c>
      <c r="AN16" s="56" t="e">
        <f t="shared" si="18"/>
        <v>#REF!</v>
      </c>
      <c r="AO16" s="56" t="e">
        <f t="shared" si="3"/>
        <v>#REF!</v>
      </c>
      <c r="AP16" s="56" t="e">
        <f t="shared" si="4"/>
        <v>#REF!</v>
      </c>
      <c r="AQ16" s="57" t="e">
        <f t="shared" si="5"/>
        <v>#REF!</v>
      </c>
      <c r="AR16" s="57"/>
      <c r="AS16" s="57">
        <f t="shared" si="28"/>
        <v>8.8097623776124276</v>
      </c>
      <c r="AT16" s="57">
        <f t="shared" si="29"/>
        <v>8.580701034151728</v>
      </c>
      <c r="AU16" s="57">
        <f t="shared" si="30"/>
        <v>8.8278060908140041</v>
      </c>
      <c r="AV16" s="57">
        <f t="shared" si="31"/>
        <v>8.7460631527180777</v>
      </c>
      <c r="AW16" s="57" t="e">
        <f t="shared" si="32"/>
        <v>#REF!</v>
      </c>
      <c r="AX16" s="57" t="e">
        <f t="shared" si="33"/>
        <v>#REF!</v>
      </c>
      <c r="AY16" s="57" t="e">
        <f t="shared" si="34"/>
        <v>#REF!</v>
      </c>
      <c r="AZ16" s="56" t="e">
        <f t="shared" si="35"/>
        <v>#REF!</v>
      </c>
      <c r="BA16" s="56" t="e">
        <f t="shared" si="36"/>
        <v>#REF!</v>
      </c>
      <c r="BB16" s="56" t="e">
        <f t="shared" si="37"/>
        <v>#REF!</v>
      </c>
      <c r="BC16" s="57" t="e">
        <f t="shared" si="19"/>
        <v>#REF!</v>
      </c>
      <c r="BD16" s="56" t="e">
        <f t="shared" si="7"/>
        <v>#REF!</v>
      </c>
      <c r="BE16" s="56" t="e">
        <f t="shared" si="8"/>
        <v>#REF!</v>
      </c>
      <c r="BF16" s="56" t="e">
        <f t="shared" si="9"/>
        <v>#REF!</v>
      </c>
      <c r="BG16" s="56" t="e">
        <f t="shared" si="10"/>
        <v>#REF!</v>
      </c>
      <c r="BH16" s="56" t="e">
        <f t="shared" si="11"/>
        <v>#REF!</v>
      </c>
      <c r="BI16" s="56" t="e">
        <f t="shared" si="12"/>
        <v>#REF!</v>
      </c>
      <c r="BJ16" s="56" t="e">
        <f t="shared" si="12"/>
        <v>#REF!</v>
      </c>
    </row>
    <row r="17" spans="1:62" ht="17.55" customHeight="1">
      <c r="A17" s="86" t="s">
        <v>23</v>
      </c>
      <c r="B17" s="87">
        <v>14975.61</v>
      </c>
      <c r="C17" s="87">
        <v>13708.46</v>
      </c>
      <c r="D17" s="87">
        <v>15200.28</v>
      </c>
      <c r="E17" s="87">
        <v>18503.96</v>
      </c>
      <c r="F17" s="70" t="e">
        <f>+F14+F15+F16</f>
        <v>#REF!</v>
      </c>
      <c r="G17" s="70" t="e">
        <f>+G14+G15+G16</f>
        <v>#REF!</v>
      </c>
      <c r="H17" s="70" t="e">
        <f>+H14+H15+H16</f>
        <v>#REF!</v>
      </c>
      <c r="I17" s="70" t="e">
        <f>+I14+I15+I16</f>
        <v>#REF!</v>
      </c>
      <c r="J17" s="70" t="e">
        <f t="shared" ref="J17:O17" si="42">+J16+J15+J14</f>
        <v>#REF!</v>
      </c>
      <c r="K17" s="70" t="e">
        <f t="shared" si="42"/>
        <v>#REF!</v>
      </c>
      <c r="L17" s="70" t="e">
        <f t="shared" si="42"/>
        <v>#REF!</v>
      </c>
      <c r="M17" s="70" t="e">
        <f t="shared" si="42"/>
        <v>#REF!</v>
      </c>
      <c r="N17" s="70" t="e">
        <f t="shared" si="42"/>
        <v>#REF!</v>
      </c>
      <c r="O17" s="70" t="e">
        <f t="shared" si="42"/>
        <v>#REF!</v>
      </c>
      <c r="P17" s="70" t="e">
        <f>+P16+P15+P14</f>
        <v>#REF!</v>
      </c>
      <c r="Q17" s="70" t="e">
        <f>+Q16+Q15+Q14</f>
        <v>#REF!</v>
      </c>
      <c r="R17" s="70" t="e">
        <f>+R16+R15+R14</f>
        <v>#REF!</v>
      </c>
      <c r="S17" s="70" t="e">
        <f>+S16+S15+S14</f>
        <v>#REF!</v>
      </c>
      <c r="T17" s="70" t="e">
        <f>+T16+T15+T14</f>
        <v>#REF!</v>
      </c>
      <c r="U17" s="48"/>
      <c r="V17" s="88">
        <f t="shared" si="21"/>
        <v>-8.4614249436250066</v>
      </c>
      <c r="W17" s="88">
        <f t="shared" si="22"/>
        <v>10.882476952188668</v>
      </c>
      <c r="X17" s="88">
        <f t="shared" si="23"/>
        <v>21.734336472749185</v>
      </c>
      <c r="Y17" s="88" t="e">
        <f t="shared" si="24"/>
        <v>#REF!</v>
      </c>
      <c r="Z17" s="88" t="e">
        <f t="shared" si="25"/>
        <v>#REF!</v>
      </c>
      <c r="AA17" s="325" t="e">
        <f t="shared" si="26"/>
        <v>#REF!</v>
      </c>
      <c r="AB17" s="88" t="e">
        <f t="shared" si="27"/>
        <v>#REF!</v>
      </c>
      <c r="AC17" s="88" t="e">
        <f t="shared" si="14"/>
        <v>#REF!</v>
      </c>
      <c r="AD17" s="88" t="e">
        <f t="shared" si="14"/>
        <v>#REF!</v>
      </c>
      <c r="AE17" s="88" t="e">
        <f t="shared" si="14"/>
        <v>#REF!</v>
      </c>
      <c r="AF17" s="325" t="e">
        <f t="shared" si="2"/>
        <v>#REF!</v>
      </c>
      <c r="AG17" s="325" t="e">
        <f>((#REF!/M17)-1)*100</f>
        <v>#REF!</v>
      </c>
      <c r="AH17" s="325" t="e">
        <f>((#REF!/M17)-1)*100</f>
        <v>#REF!</v>
      </c>
      <c r="AI17" s="325" t="e">
        <f>((#REF!/M17)-1)*100</f>
        <v>#REF!</v>
      </c>
      <c r="AJ17" s="56" t="e">
        <f>((#REF!/M17)-1)*100</f>
        <v>#REF!</v>
      </c>
      <c r="AK17" s="325" t="e">
        <f t="shared" si="15"/>
        <v>#REF!</v>
      </c>
      <c r="AL17" s="325" t="e">
        <f t="shared" si="16"/>
        <v>#REF!</v>
      </c>
      <c r="AM17" s="325" t="e">
        <f t="shared" si="17"/>
        <v>#REF!</v>
      </c>
      <c r="AN17" s="325" t="e">
        <f t="shared" si="18"/>
        <v>#REF!</v>
      </c>
      <c r="AO17" s="325" t="e">
        <f t="shared" si="3"/>
        <v>#REF!</v>
      </c>
      <c r="AP17" s="325" t="e">
        <f>((S17/P17)-1)*100</f>
        <v>#REF!</v>
      </c>
      <c r="AQ17" s="325" t="e">
        <f>((T17/P17)-1)*100</f>
        <v>#REF!</v>
      </c>
      <c r="AR17" s="88"/>
      <c r="AS17" s="88">
        <f t="shared" si="28"/>
        <v>25.672114876106022</v>
      </c>
      <c r="AT17" s="88">
        <f t="shared" si="29"/>
        <v>25.157721397678511</v>
      </c>
      <c r="AU17" s="88">
        <f t="shared" si="30"/>
        <v>25.999628827925825</v>
      </c>
      <c r="AV17" s="88">
        <f t="shared" si="31"/>
        <v>26.576893334850048</v>
      </c>
      <c r="AW17" s="88" t="e">
        <f t="shared" si="32"/>
        <v>#REF!</v>
      </c>
      <c r="AX17" s="88" t="e">
        <f t="shared" si="33"/>
        <v>#REF!</v>
      </c>
      <c r="AY17" s="325" t="e">
        <f t="shared" si="34"/>
        <v>#REF!</v>
      </c>
      <c r="AZ17" s="88" t="e">
        <f>+(I17/I$23)*100</f>
        <v>#REF!</v>
      </c>
      <c r="BA17" s="88" t="e">
        <f t="shared" si="36"/>
        <v>#REF!</v>
      </c>
      <c r="BB17" s="88" t="e">
        <f t="shared" si="37"/>
        <v>#REF!</v>
      </c>
      <c r="BC17" s="325" t="e">
        <f t="shared" si="19"/>
        <v>#REF!</v>
      </c>
      <c r="BD17" s="88" t="e">
        <f t="shared" si="7"/>
        <v>#REF!</v>
      </c>
      <c r="BE17" s="88" t="e">
        <f t="shared" si="8"/>
        <v>#REF!</v>
      </c>
      <c r="BF17" s="88" t="e">
        <f t="shared" si="9"/>
        <v>#REF!</v>
      </c>
      <c r="BG17" s="88" t="e">
        <f t="shared" si="10"/>
        <v>#REF!</v>
      </c>
      <c r="BH17" s="88" t="e">
        <f t="shared" si="11"/>
        <v>#REF!</v>
      </c>
      <c r="BI17" s="325" t="e">
        <f>+(S17/S$23)*100</f>
        <v>#REF!</v>
      </c>
      <c r="BJ17" s="325" t="e">
        <f>+(T17/T$23)*100</f>
        <v>#REF!</v>
      </c>
    </row>
    <row r="18" spans="1:62" ht="17.55" customHeight="1">
      <c r="A18" s="32" t="s">
        <v>25</v>
      </c>
      <c r="B18" s="53">
        <v>5307.77</v>
      </c>
      <c r="C18" s="53">
        <v>4632.58</v>
      </c>
      <c r="D18" s="53">
        <v>5477.32</v>
      </c>
      <c r="E18" s="53">
        <v>6309.06</v>
      </c>
      <c r="F18" s="53" t="e">
        <f>+#REF!</f>
        <v>#REF!</v>
      </c>
      <c r="G18" s="53" t="e">
        <f>+#REF!</f>
        <v>#REF!</v>
      </c>
      <c r="H18" s="53" t="e">
        <f>+#REF!</f>
        <v>#REF!</v>
      </c>
      <c r="I18" s="53" t="e">
        <f>+#REF!</f>
        <v>#REF!</v>
      </c>
      <c r="J18" s="53" t="e">
        <f>+#REF!</f>
        <v>#REF!</v>
      </c>
      <c r="K18" s="53" t="e">
        <f>+#REF!</f>
        <v>#REF!</v>
      </c>
      <c r="L18" s="53" t="e">
        <f>($L$23*BC18)/100</f>
        <v>#REF!</v>
      </c>
      <c r="M18" s="53" t="e">
        <f>+#REF!</f>
        <v>#REF!</v>
      </c>
      <c r="N18" s="53" t="e">
        <f>+#REF!</f>
        <v>#REF!</v>
      </c>
      <c r="O18" s="53" t="e">
        <f>+#REF!</f>
        <v>#REF!</v>
      </c>
      <c r="P18" s="53" t="e">
        <f>+#REF!</f>
        <v>#REF!</v>
      </c>
      <c r="Q18" s="53" t="e">
        <f>(Q$23*BJ18)/100</f>
        <v>#REF!</v>
      </c>
      <c r="R18" s="53" t="e">
        <f>(R$23*BH18)/100</f>
        <v>#REF!</v>
      </c>
      <c r="S18" s="53" t="e">
        <f>+#REF!</f>
        <v>#REF!</v>
      </c>
      <c r="T18" s="53" t="e">
        <f>+S18</f>
        <v>#REF!</v>
      </c>
      <c r="U18" s="71"/>
      <c r="V18" s="56">
        <f t="shared" si="21"/>
        <v>-12.720784811700591</v>
      </c>
      <c r="W18" s="56">
        <f t="shared" si="22"/>
        <v>18.234763350012308</v>
      </c>
      <c r="X18" s="56">
        <f t="shared" si="23"/>
        <v>15.185163547136193</v>
      </c>
      <c r="Y18" s="56" t="e">
        <f t="shared" si="24"/>
        <v>#REF!</v>
      </c>
      <c r="Z18" s="56" t="e">
        <f t="shared" si="25"/>
        <v>#REF!</v>
      </c>
      <c r="AA18" s="57" t="e">
        <f t="shared" si="26"/>
        <v>#REF!</v>
      </c>
      <c r="AB18" s="56" t="e">
        <f t="shared" si="27"/>
        <v>#REF!</v>
      </c>
      <c r="AC18" s="56" t="e">
        <f t="shared" si="14"/>
        <v>#REF!</v>
      </c>
      <c r="AD18" s="56" t="e">
        <f t="shared" si="14"/>
        <v>#REF!</v>
      </c>
      <c r="AE18" s="56" t="e">
        <f t="shared" si="14"/>
        <v>#REF!</v>
      </c>
      <c r="AF18" s="57" t="e">
        <f t="shared" si="2"/>
        <v>#REF!</v>
      </c>
      <c r="AG18" s="56" t="e">
        <f>((#REF!/M18)-1)*100</f>
        <v>#REF!</v>
      </c>
      <c r="AH18" s="56" t="e">
        <f>((#REF!/M18)-1)*100</f>
        <v>#REF!</v>
      </c>
      <c r="AI18" s="56" t="e">
        <f>((#REF!/M18)-1)*100</f>
        <v>#REF!</v>
      </c>
      <c r="AJ18" s="56" t="e">
        <f>((#REF!/M18)-1)*100</f>
        <v>#REF!</v>
      </c>
      <c r="AK18" s="56" t="e">
        <f t="shared" si="15"/>
        <v>#REF!</v>
      </c>
      <c r="AL18" s="57" t="e">
        <f t="shared" si="16"/>
        <v>#REF!</v>
      </c>
      <c r="AM18" s="56" t="e">
        <f t="shared" si="17"/>
        <v>#REF!</v>
      </c>
      <c r="AN18" s="56" t="e">
        <f t="shared" si="18"/>
        <v>#REF!</v>
      </c>
      <c r="AO18" s="56" t="e">
        <f t="shared" si="3"/>
        <v>#REF!</v>
      </c>
      <c r="AP18" s="56" t="e">
        <f t="shared" si="4"/>
        <v>#REF!</v>
      </c>
      <c r="AQ18" s="57" t="e">
        <f t="shared" si="5"/>
        <v>#REF!</v>
      </c>
      <c r="AR18" s="56"/>
      <c r="AS18" s="56">
        <f t="shared" si="28"/>
        <v>9.0989069010176724</v>
      </c>
      <c r="AT18" s="56">
        <f t="shared" si="29"/>
        <v>8.5016958135674994</v>
      </c>
      <c r="AU18" s="56">
        <f t="shared" si="30"/>
        <v>9.3687936651018706</v>
      </c>
      <c r="AV18" s="56">
        <f t="shared" si="31"/>
        <v>9.0615854478267934</v>
      </c>
      <c r="AW18" s="56" t="e">
        <f t="shared" si="32"/>
        <v>#REF!</v>
      </c>
      <c r="AX18" s="56" t="e">
        <f t="shared" si="33"/>
        <v>#REF!</v>
      </c>
      <c r="AY18" s="57" t="e">
        <f t="shared" si="34"/>
        <v>#REF!</v>
      </c>
      <c r="AZ18" s="56" t="e">
        <f t="shared" si="35"/>
        <v>#REF!</v>
      </c>
      <c r="BA18" s="56" t="e">
        <f t="shared" si="36"/>
        <v>#REF!</v>
      </c>
      <c r="BB18" s="56" t="e">
        <f t="shared" si="37"/>
        <v>#REF!</v>
      </c>
      <c r="BC18" s="57" t="e">
        <f t="shared" si="19"/>
        <v>#REF!</v>
      </c>
      <c r="BD18" s="56" t="e">
        <f t="shared" si="7"/>
        <v>#REF!</v>
      </c>
      <c r="BE18" s="56" t="e">
        <f t="shared" si="8"/>
        <v>#REF!</v>
      </c>
      <c r="BF18" s="56" t="e">
        <f t="shared" si="9"/>
        <v>#REF!</v>
      </c>
      <c r="BG18" s="56" t="e">
        <f t="shared" si="10"/>
        <v>#REF!</v>
      </c>
      <c r="BH18" s="56" t="e">
        <f t="shared" si="11"/>
        <v>#REF!</v>
      </c>
      <c r="BI18" s="56" t="e">
        <f t="shared" si="12"/>
        <v>#REF!</v>
      </c>
      <c r="BJ18" s="56" t="e">
        <f t="shared" si="12"/>
        <v>#REF!</v>
      </c>
    </row>
    <row r="19" spans="1:62" ht="17.55" customHeight="1">
      <c r="A19" s="45" t="s">
        <v>27</v>
      </c>
      <c r="B19" s="53">
        <v>4920.42</v>
      </c>
      <c r="C19" s="53">
        <v>4555.42</v>
      </c>
      <c r="D19" s="53">
        <v>5346.5</v>
      </c>
      <c r="E19" s="53">
        <v>6219.54</v>
      </c>
      <c r="F19" s="53" t="e">
        <f>+#REF!</f>
        <v>#REF!</v>
      </c>
      <c r="G19" s="53" t="e">
        <f>+#REF!</f>
        <v>#REF!</v>
      </c>
      <c r="H19" s="53" t="e">
        <f>+#REF!</f>
        <v>#REF!</v>
      </c>
      <c r="I19" s="53" t="e">
        <f>+#REF!</f>
        <v>#REF!</v>
      </c>
      <c r="J19" s="53" t="e">
        <f>+#REF!</f>
        <v>#REF!</v>
      </c>
      <c r="K19" s="53" t="e">
        <f>+#REF!</f>
        <v>#REF!</v>
      </c>
      <c r="L19" s="53" t="e">
        <f>($L$23*BC19)/100</f>
        <v>#REF!</v>
      </c>
      <c r="M19" s="53" t="e">
        <f>+#REF!</f>
        <v>#REF!</v>
      </c>
      <c r="N19" s="53" t="e">
        <f>+#REF!</f>
        <v>#REF!</v>
      </c>
      <c r="O19" s="53" t="e">
        <f>+#REF!</f>
        <v>#REF!</v>
      </c>
      <c r="P19" s="53" t="e">
        <f>+#REF!</f>
        <v>#REF!</v>
      </c>
      <c r="Q19" s="53" t="e">
        <f>(Q$23*BJ19)/100</f>
        <v>#REF!</v>
      </c>
      <c r="R19" s="53" t="e">
        <f>(R$23*BH19)/100</f>
        <v>#REF!</v>
      </c>
      <c r="S19" s="143">
        <v>18500</v>
      </c>
      <c r="T19" s="143">
        <v>19500</v>
      </c>
      <c r="U19" s="71"/>
      <c r="V19" s="56">
        <f t="shared" si="21"/>
        <v>-7.4180659374606268</v>
      </c>
      <c r="W19" s="56">
        <f t="shared" si="22"/>
        <v>17.365687466797787</v>
      </c>
      <c r="X19" s="56">
        <f t="shared" si="23"/>
        <v>16.329187318806703</v>
      </c>
      <c r="Y19" s="56" t="e">
        <f t="shared" si="24"/>
        <v>#REF!</v>
      </c>
      <c r="Z19" s="56" t="e">
        <f t="shared" si="25"/>
        <v>#REF!</v>
      </c>
      <c r="AA19" s="57" t="e">
        <f t="shared" si="26"/>
        <v>#REF!</v>
      </c>
      <c r="AB19" s="56" t="e">
        <f t="shared" si="27"/>
        <v>#REF!</v>
      </c>
      <c r="AC19" s="56" t="e">
        <f t="shared" si="14"/>
        <v>#REF!</v>
      </c>
      <c r="AD19" s="56" t="e">
        <f t="shared" si="14"/>
        <v>#REF!</v>
      </c>
      <c r="AE19" s="56" t="e">
        <f t="shared" si="14"/>
        <v>#REF!</v>
      </c>
      <c r="AF19" s="57" t="e">
        <f t="shared" si="2"/>
        <v>#REF!</v>
      </c>
      <c r="AG19" s="56" t="e">
        <f>((#REF!/M19)-1)*100</f>
        <v>#REF!</v>
      </c>
      <c r="AH19" s="56" t="e">
        <f>((#REF!/M19)-1)*100</f>
        <v>#REF!</v>
      </c>
      <c r="AI19" s="56" t="e">
        <f>((#REF!/M19)-1)*100</f>
        <v>#REF!</v>
      </c>
      <c r="AJ19" s="56" t="e">
        <f>((#REF!/M19)-1)*100</f>
        <v>#REF!</v>
      </c>
      <c r="AK19" s="56" t="e">
        <f t="shared" si="15"/>
        <v>#REF!</v>
      </c>
      <c r="AL19" s="57" t="e">
        <f t="shared" si="16"/>
        <v>#REF!</v>
      </c>
      <c r="AM19" s="56" t="e">
        <f t="shared" si="17"/>
        <v>#REF!</v>
      </c>
      <c r="AN19" s="56" t="e">
        <f t="shared" si="18"/>
        <v>#REF!</v>
      </c>
      <c r="AO19" s="56" t="e">
        <f t="shared" si="3"/>
        <v>#REF!</v>
      </c>
      <c r="AP19" s="56" t="e">
        <f t="shared" si="4"/>
        <v>#REF!</v>
      </c>
      <c r="AQ19" s="57" t="e">
        <f t="shared" si="5"/>
        <v>#REF!</v>
      </c>
      <c r="AR19" s="56"/>
      <c r="AS19" s="56">
        <f t="shared" si="28"/>
        <v>8.434887625858952</v>
      </c>
      <c r="AT19" s="56">
        <f t="shared" si="29"/>
        <v>8.3600920314471967</v>
      </c>
      <c r="AU19" s="56">
        <f t="shared" si="30"/>
        <v>9.1450299289556121</v>
      </c>
      <c r="AV19" s="56">
        <f t="shared" si="31"/>
        <v>8.933009538057437</v>
      </c>
      <c r="AW19" s="56" t="e">
        <f t="shared" si="32"/>
        <v>#REF!</v>
      </c>
      <c r="AX19" s="56" t="e">
        <f t="shared" si="33"/>
        <v>#REF!</v>
      </c>
      <c r="AY19" s="57" t="e">
        <f t="shared" si="34"/>
        <v>#REF!</v>
      </c>
      <c r="AZ19" s="56" t="e">
        <f t="shared" si="35"/>
        <v>#REF!</v>
      </c>
      <c r="BA19" s="56" t="e">
        <f t="shared" si="36"/>
        <v>#REF!</v>
      </c>
      <c r="BB19" s="56" t="e">
        <f t="shared" si="37"/>
        <v>#REF!</v>
      </c>
      <c r="BC19" s="57" t="e">
        <f t="shared" si="19"/>
        <v>#REF!</v>
      </c>
      <c r="BD19" s="56" t="e">
        <f t="shared" si="7"/>
        <v>#REF!</v>
      </c>
      <c r="BE19" s="56" t="e">
        <f t="shared" si="8"/>
        <v>#REF!</v>
      </c>
      <c r="BF19" s="56" t="e">
        <f t="shared" si="9"/>
        <v>#REF!</v>
      </c>
      <c r="BG19" s="56" t="e">
        <f t="shared" si="10"/>
        <v>#REF!</v>
      </c>
      <c r="BH19" s="56" t="e">
        <f t="shared" si="11"/>
        <v>#REF!</v>
      </c>
      <c r="BI19" s="56" t="e">
        <f t="shared" si="12"/>
        <v>#REF!</v>
      </c>
      <c r="BJ19" s="56" t="e">
        <f t="shared" si="12"/>
        <v>#REF!</v>
      </c>
    </row>
    <row r="20" spans="1:62" ht="17.55" customHeight="1">
      <c r="A20" s="47" t="s">
        <v>29</v>
      </c>
      <c r="B20" s="54">
        <v>5040.43</v>
      </c>
      <c r="C20" s="54">
        <v>4676.1000000000058</v>
      </c>
      <c r="D20" s="54">
        <v>5342.75</v>
      </c>
      <c r="E20" s="53">
        <v>5916.97</v>
      </c>
      <c r="F20" s="53" t="e">
        <f>+#REF!</f>
        <v>#REF!</v>
      </c>
      <c r="G20" s="53" t="e">
        <f>+#REF!</f>
        <v>#REF!</v>
      </c>
      <c r="H20" s="53" t="e">
        <f>+#REF!</f>
        <v>#REF!</v>
      </c>
      <c r="I20" s="53" t="e">
        <f>+#REF!</f>
        <v>#REF!</v>
      </c>
      <c r="J20" s="54" t="e">
        <f>+#REF!</f>
        <v>#REF!</v>
      </c>
      <c r="K20" s="54" t="e">
        <f>+#REF!</f>
        <v>#REF!</v>
      </c>
      <c r="L20" s="53" t="e">
        <f>($L$23*BC20)/100</f>
        <v>#REF!</v>
      </c>
      <c r="M20" s="53" t="e">
        <f>+#REF!</f>
        <v>#REF!</v>
      </c>
      <c r="N20" s="53" t="e">
        <f>+#REF!</f>
        <v>#REF!</v>
      </c>
      <c r="O20" s="53" t="e">
        <f>+#REF!</f>
        <v>#REF!</v>
      </c>
      <c r="P20" s="53" t="e">
        <f>+#REF!</f>
        <v>#REF!</v>
      </c>
      <c r="Q20" s="53" t="e">
        <f>(Q$23*BJ20)/100</f>
        <v>#REF!</v>
      </c>
      <c r="R20" s="53" t="e">
        <f>(R$23*BH20)/100</f>
        <v>#REF!</v>
      </c>
      <c r="S20" s="143">
        <v>17800</v>
      </c>
      <c r="T20" s="143">
        <v>18700</v>
      </c>
      <c r="U20" s="48"/>
      <c r="V20" s="58">
        <f t="shared" si="21"/>
        <v>-7.2281531535998811</v>
      </c>
      <c r="W20" s="58">
        <f t="shared" si="22"/>
        <v>14.256538568465027</v>
      </c>
      <c r="X20" s="58">
        <f t="shared" si="23"/>
        <v>10.747648682794452</v>
      </c>
      <c r="Y20" s="58" t="e">
        <f t="shared" si="24"/>
        <v>#REF!</v>
      </c>
      <c r="Z20" s="57" t="e">
        <f t="shared" si="25"/>
        <v>#REF!</v>
      </c>
      <c r="AA20" s="57" t="e">
        <f t="shared" si="26"/>
        <v>#REF!</v>
      </c>
      <c r="AB20" s="57" t="e">
        <f t="shared" si="27"/>
        <v>#REF!</v>
      </c>
      <c r="AC20" s="56" t="e">
        <f t="shared" si="14"/>
        <v>#REF!</v>
      </c>
      <c r="AD20" s="56" t="e">
        <f t="shared" si="14"/>
        <v>#REF!</v>
      </c>
      <c r="AE20" s="56" t="e">
        <f t="shared" si="14"/>
        <v>#REF!</v>
      </c>
      <c r="AF20" s="57" t="e">
        <f t="shared" si="2"/>
        <v>#REF!</v>
      </c>
      <c r="AG20" s="56" t="e">
        <f>((#REF!/M20)-1)*100</f>
        <v>#REF!</v>
      </c>
      <c r="AH20" s="56" t="e">
        <f>((#REF!/M20)-1)*100</f>
        <v>#REF!</v>
      </c>
      <c r="AI20" s="56" t="e">
        <f>((#REF!/M20)-1)*100</f>
        <v>#REF!</v>
      </c>
      <c r="AJ20" s="56" t="e">
        <f>((#REF!/M20)-1)*100</f>
        <v>#REF!</v>
      </c>
      <c r="AK20" s="56" t="e">
        <f t="shared" si="15"/>
        <v>#REF!</v>
      </c>
      <c r="AL20" s="57" t="e">
        <f t="shared" si="16"/>
        <v>#REF!</v>
      </c>
      <c r="AM20" s="56" t="e">
        <f t="shared" si="17"/>
        <v>#REF!</v>
      </c>
      <c r="AN20" s="56" t="e">
        <f t="shared" si="18"/>
        <v>#REF!</v>
      </c>
      <c r="AO20" s="56" t="e">
        <f t="shared" si="3"/>
        <v>#REF!</v>
      </c>
      <c r="AP20" s="56" t="e">
        <f t="shared" si="4"/>
        <v>#REF!</v>
      </c>
      <c r="AQ20" s="57" t="e">
        <f t="shared" si="5"/>
        <v>#REF!</v>
      </c>
      <c r="AR20" s="58"/>
      <c r="AS20" s="58">
        <f t="shared" si="28"/>
        <v>8.6406161742307042</v>
      </c>
      <c r="AT20" s="58">
        <f t="shared" si="29"/>
        <v>8.5815635766296605</v>
      </c>
      <c r="AU20" s="58">
        <f t="shared" si="30"/>
        <v>9.1386156650009536</v>
      </c>
      <c r="AV20" s="58">
        <f t="shared" si="31"/>
        <v>8.498433878775554</v>
      </c>
      <c r="AW20" s="58" t="e">
        <f t="shared" si="32"/>
        <v>#REF!</v>
      </c>
      <c r="AX20" s="57" t="e">
        <f t="shared" si="33"/>
        <v>#REF!</v>
      </c>
      <c r="AY20" s="57" t="e">
        <f t="shared" si="34"/>
        <v>#REF!</v>
      </c>
      <c r="AZ20" s="57" t="e">
        <f t="shared" si="35"/>
        <v>#REF!</v>
      </c>
      <c r="BA20" s="56" t="e">
        <f t="shared" si="36"/>
        <v>#REF!</v>
      </c>
      <c r="BB20" s="56" t="e">
        <f t="shared" si="37"/>
        <v>#REF!</v>
      </c>
      <c r="BC20" s="57" t="e">
        <f t="shared" si="19"/>
        <v>#REF!</v>
      </c>
      <c r="BD20" s="56" t="e">
        <f t="shared" si="7"/>
        <v>#REF!</v>
      </c>
      <c r="BE20" s="56" t="e">
        <f t="shared" si="8"/>
        <v>#REF!</v>
      </c>
      <c r="BF20" s="56" t="e">
        <f t="shared" si="9"/>
        <v>#REF!</v>
      </c>
      <c r="BG20" s="56" t="e">
        <f t="shared" si="10"/>
        <v>#REF!</v>
      </c>
      <c r="BH20" s="56" t="e">
        <f t="shared" si="11"/>
        <v>#REF!</v>
      </c>
      <c r="BI20" s="56" t="e">
        <f t="shared" si="12"/>
        <v>#REF!</v>
      </c>
      <c r="BJ20" s="56" t="e">
        <f t="shared" si="12"/>
        <v>#REF!</v>
      </c>
    </row>
    <row r="21" spans="1:62" ht="17.55" customHeight="1">
      <c r="A21" s="63" t="s">
        <v>30</v>
      </c>
      <c r="B21" s="70">
        <v>15268.62</v>
      </c>
      <c r="C21" s="70">
        <v>13864.1</v>
      </c>
      <c r="D21" s="70">
        <v>16166.57</v>
      </c>
      <c r="E21" s="70">
        <v>18445.57</v>
      </c>
      <c r="F21" s="70" t="e">
        <f>+F18+F19+F20</f>
        <v>#REF!</v>
      </c>
      <c r="G21" s="70" t="e">
        <f>+G18+G19+G20</f>
        <v>#REF!</v>
      </c>
      <c r="H21" s="70" t="e">
        <f>+H18+H19+H20</f>
        <v>#REF!</v>
      </c>
      <c r="I21" s="70" t="e">
        <f>+I18+I19+I20</f>
        <v>#REF!</v>
      </c>
      <c r="J21" s="70" t="e">
        <f t="shared" ref="J21:O21" si="43">+J20+J19+J18</f>
        <v>#REF!</v>
      </c>
      <c r="K21" s="70" t="e">
        <f t="shared" si="43"/>
        <v>#REF!</v>
      </c>
      <c r="L21" s="70" t="e">
        <f t="shared" si="43"/>
        <v>#REF!</v>
      </c>
      <c r="M21" s="70" t="e">
        <f t="shared" si="43"/>
        <v>#REF!</v>
      </c>
      <c r="N21" s="70" t="e">
        <f t="shared" si="43"/>
        <v>#REF!</v>
      </c>
      <c r="O21" s="70" t="e">
        <f t="shared" si="43"/>
        <v>#REF!</v>
      </c>
      <c r="P21" s="70" t="e">
        <f>+P20+P19+P18</f>
        <v>#REF!</v>
      </c>
      <c r="Q21" s="70" t="e">
        <f>+Q20+Q19+Q18</f>
        <v>#REF!</v>
      </c>
      <c r="R21" s="70" t="e">
        <f>+R20+R19+R18</f>
        <v>#REF!</v>
      </c>
      <c r="S21" s="144" t="e">
        <f>+S20+S19+S18</f>
        <v>#REF!</v>
      </c>
      <c r="T21" s="144" t="e">
        <f>+T20+T19+T18</f>
        <v>#REF!</v>
      </c>
      <c r="U21" s="48"/>
      <c r="V21" s="60">
        <f t="shared" si="21"/>
        <v>-9.1987357076147021</v>
      </c>
      <c r="W21" s="60">
        <f t="shared" si="22"/>
        <v>16.607424932018656</v>
      </c>
      <c r="X21" s="60">
        <f t="shared" si="23"/>
        <v>14.096991507784274</v>
      </c>
      <c r="Y21" s="60" t="e">
        <f t="shared" si="24"/>
        <v>#REF!</v>
      </c>
      <c r="Z21" s="325" t="e">
        <f t="shared" si="25"/>
        <v>#REF!</v>
      </c>
      <c r="AA21" s="325" t="e">
        <f t="shared" si="26"/>
        <v>#REF!</v>
      </c>
      <c r="AB21" s="325" t="e">
        <f t="shared" si="27"/>
        <v>#REF!</v>
      </c>
      <c r="AC21" s="88" t="e">
        <f t="shared" si="14"/>
        <v>#REF!</v>
      </c>
      <c r="AD21" s="88" t="e">
        <f t="shared" si="14"/>
        <v>#REF!</v>
      </c>
      <c r="AE21" s="88" t="e">
        <f t="shared" si="14"/>
        <v>#REF!</v>
      </c>
      <c r="AF21" s="325" t="e">
        <f t="shared" si="2"/>
        <v>#REF!</v>
      </c>
      <c r="AG21" s="325" t="e">
        <f>((#REF!/M21)-1)*100</f>
        <v>#REF!</v>
      </c>
      <c r="AH21" s="325" t="e">
        <f>((#REF!/M21)-1)*100</f>
        <v>#REF!</v>
      </c>
      <c r="AI21" s="325" t="e">
        <f>((#REF!/M21)-1)*100</f>
        <v>#REF!</v>
      </c>
      <c r="AJ21" s="56" t="e">
        <f>((#REF!/M21)-1)*100</f>
        <v>#REF!</v>
      </c>
      <c r="AK21" s="325" t="e">
        <f t="shared" si="15"/>
        <v>#REF!</v>
      </c>
      <c r="AL21" s="325" t="e">
        <f t="shared" si="16"/>
        <v>#REF!</v>
      </c>
      <c r="AM21" s="325" t="e">
        <f t="shared" si="17"/>
        <v>#REF!</v>
      </c>
      <c r="AN21" s="325" t="e">
        <f t="shared" si="18"/>
        <v>#REF!</v>
      </c>
      <c r="AO21" s="325" t="e">
        <f t="shared" si="3"/>
        <v>#REF!</v>
      </c>
      <c r="AP21" s="325" t="e">
        <f>((S21/P21)-1)*100</f>
        <v>#REF!</v>
      </c>
      <c r="AQ21" s="325" t="e">
        <f>((T21/P21)-1)*100</f>
        <v>#REF!</v>
      </c>
      <c r="AR21" s="60"/>
      <c r="AS21" s="60">
        <f t="shared" si="28"/>
        <v>26.174410701107327</v>
      </c>
      <c r="AT21" s="60">
        <f t="shared" si="29"/>
        <v>25.443351421644351</v>
      </c>
      <c r="AU21" s="60">
        <f t="shared" si="30"/>
        <v>27.652439259058436</v>
      </c>
      <c r="AV21" s="60">
        <f t="shared" si="31"/>
        <v>26.493028864659784</v>
      </c>
      <c r="AW21" s="60" t="e">
        <f t="shared" si="32"/>
        <v>#REF!</v>
      </c>
      <c r="AX21" s="325" t="e">
        <f t="shared" si="33"/>
        <v>#REF!</v>
      </c>
      <c r="AY21" s="325" t="e">
        <f t="shared" si="34"/>
        <v>#REF!</v>
      </c>
      <c r="AZ21" s="325" t="e">
        <f>+(I21/I$23)*100</f>
        <v>#REF!</v>
      </c>
      <c r="BA21" s="88" t="e">
        <f t="shared" si="36"/>
        <v>#REF!</v>
      </c>
      <c r="BB21" s="88" t="e">
        <f t="shared" si="37"/>
        <v>#REF!</v>
      </c>
      <c r="BC21" s="325" t="e">
        <f t="shared" si="19"/>
        <v>#REF!</v>
      </c>
      <c r="BD21" s="325" t="e">
        <f t="shared" si="7"/>
        <v>#REF!</v>
      </c>
      <c r="BE21" s="325" t="e">
        <f t="shared" si="8"/>
        <v>#REF!</v>
      </c>
      <c r="BF21" s="325" t="e">
        <f t="shared" si="9"/>
        <v>#REF!</v>
      </c>
      <c r="BG21" s="325" t="e">
        <f t="shared" si="10"/>
        <v>#REF!</v>
      </c>
      <c r="BH21" s="325" t="e">
        <f t="shared" si="11"/>
        <v>#REF!</v>
      </c>
      <c r="BI21" s="325" t="e">
        <f t="shared" ref="BI21:BJ23" si="44">+(S21/S$23)*100</f>
        <v>#REF!</v>
      </c>
      <c r="BJ21" s="325" t="e">
        <f t="shared" si="44"/>
        <v>#REF!</v>
      </c>
    </row>
    <row r="22" spans="1:62" ht="17.55" customHeight="1">
      <c r="A22" s="89" t="s">
        <v>31</v>
      </c>
      <c r="B22" s="90">
        <f t="shared" ref="B22:M22" si="45">+B21+B17</f>
        <v>30244.230000000003</v>
      </c>
      <c r="C22" s="90">
        <f t="shared" si="45"/>
        <v>27572.559999999998</v>
      </c>
      <c r="D22" s="90">
        <f t="shared" si="45"/>
        <v>31366.85</v>
      </c>
      <c r="E22" s="90">
        <f t="shared" si="45"/>
        <v>36949.53</v>
      </c>
      <c r="F22" s="90" t="e">
        <f t="shared" si="45"/>
        <v>#REF!</v>
      </c>
      <c r="G22" s="90" t="e">
        <f t="shared" si="45"/>
        <v>#REF!</v>
      </c>
      <c r="H22" s="90" t="e">
        <f t="shared" si="45"/>
        <v>#REF!</v>
      </c>
      <c r="I22" s="90" t="e">
        <f t="shared" si="45"/>
        <v>#REF!</v>
      </c>
      <c r="J22" s="90" t="e">
        <f t="shared" si="45"/>
        <v>#REF!</v>
      </c>
      <c r="K22" s="90" t="e">
        <f t="shared" si="45"/>
        <v>#REF!</v>
      </c>
      <c r="L22" s="90" t="e">
        <f t="shared" si="45"/>
        <v>#REF!</v>
      </c>
      <c r="M22" s="90" t="e">
        <f t="shared" si="45"/>
        <v>#REF!</v>
      </c>
      <c r="N22" s="90" t="e">
        <f t="shared" ref="N22:T22" si="46">+N21+N17</f>
        <v>#REF!</v>
      </c>
      <c r="O22" s="90" t="e">
        <f t="shared" si="46"/>
        <v>#REF!</v>
      </c>
      <c r="P22" s="90" t="e">
        <f t="shared" si="46"/>
        <v>#REF!</v>
      </c>
      <c r="Q22" s="90" t="e">
        <f t="shared" si="46"/>
        <v>#REF!</v>
      </c>
      <c r="R22" s="90" t="e">
        <f t="shared" si="46"/>
        <v>#REF!</v>
      </c>
      <c r="S22" s="145" t="e">
        <f t="shared" si="46"/>
        <v>#REF!</v>
      </c>
      <c r="T22" s="145" t="e">
        <f t="shared" si="46"/>
        <v>#REF!</v>
      </c>
      <c r="U22" s="48"/>
      <c r="V22" s="60">
        <f t="shared" si="21"/>
        <v>-8.8336519064958985</v>
      </c>
      <c r="W22" s="60">
        <f t="shared" si="22"/>
        <v>13.761108870558258</v>
      </c>
      <c r="X22" s="60">
        <f t="shared" si="23"/>
        <v>17.798025622592007</v>
      </c>
      <c r="Y22" s="60" t="e">
        <f t="shared" si="24"/>
        <v>#REF!</v>
      </c>
      <c r="Z22" s="325" t="e">
        <f t="shared" si="25"/>
        <v>#REF!</v>
      </c>
      <c r="AA22" s="325" t="e">
        <f t="shared" si="26"/>
        <v>#REF!</v>
      </c>
      <c r="AB22" s="325" t="e">
        <f t="shared" si="27"/>
        <v>#REF!</v>
      </c>
      <c r="AC22" s="88" t="e">
        <f t="shared" si="14"/>
        <v>#REF!</v>
      </c>
      <c r="AD22" s="88" t="e">
        <f t="shared" si="14"/>
        <v>#REF!</v>
      </c>
      <c r="AE22" s="88" t="e">
        <f t="shared" si="14"/>
        <v>#REF!</v>
      </c>
      <c r="AF22" s="325" t="e">
        <f t="shared" si="2"/>
        <v>#REF!</v>
      </c>
      <c r="AG22" s="325" t="e">
        <f>((#REF!/M22)-1)*100</f>
        <v>#REF!</v>
      </c>
      <c r="AH22" s="325" t="e">
        <f>((#REF!/M22)-1)*100</f>
        <v>#REF!</v>
      </c>
      <c r="AI22" s="325" t="e">
        <f>((#REF!/M22)-1)*100</f>
        <v>#REF!</v>
      </c>
      <c r="AJ22" s="56" t="e">
        <f>((#REF!/M22)-1)*100</f>
        <v>#REF!</v>
      </c>
      <c r="AK22" s="325" t="e">
        <f t="shared" si="15"/>
        <v>#REF!</v>
      </c>
      <c r="AL22" s="325" t="e">
        <f t="shared" si="16"/>
        <v>#REF!</v>
      </c>
      <c r="AM22" s="325" t="e">
        <f t="shared" si="17"/>
        <v>#REF!</v>
      </c>
      <c r="AN22" s="325" t="e">
        <f t="shared" si="18"/>
        <v>#REF!</v>
      </c>
      <c r="AO22" s="325" t="e">
        <f t="shared" si="3"/>
        <v>#REF!</v>
      </c>
      <c r="AP22" s="325" t="e">
        <f>((S22/P22)-1)*100</f>
        <v>#REF!</v>
      </c>
      <c r="AQ22" s="325" t="e">
        <f>((T22/P22)-1)*100</f>
        <v>#REF!</v>
      </c>
      <c r="AR22" s="60"/>
      <c r="AS22" s="60">
        <f t="shared" si="28"/>
        <v>51.846525577213356</v>
      </c>
      <c r="AT22" s="60">
        <f t="shared" si="29"/>
        <v>50.601072819322859</v>
      </c>
      <c r="AU22" s="60">
        <f t="shared" si="30"/>
        <v>53.652068086984258</v>
      </c>
      <c r="AV22" s="60">
        <f t="shared" si="31"/>
        <v>53.069922199509833</v>
      </c>
      <c r="AW22" s="60" t="e">
        <f t="shared" si="32"/>
        <v>#REF!</v>
      </c>
      <c r="AX22" s="325" t="e">
        <f t="shared" si="33"/>
        <v>#REF!</v>
      </c>
      <c r="AY22" s="325" t="e">
        <f t="shared" si="34"/>
        <v>#REF!</v>
      </c>
      <c r="AZ22" s="325" t="e">
        <f t="shared" si="35"/>
        <v>#REF!</v>
      </c>
      <c r="BA22" s="88" t="e">
        <f t="shared" si="36"/>
        <v>#REF!</v>
      </c>
      <c r="BB22" s="88" t="e">
        <f t="shared" si="37"/>
        <v>#REF!</v>
      </c>
      <c r="BC22" s="325" t="e">
        <f t="shared" si="19"/>
        <v>#REF!</v>
      </c>
      <c r="BD22" s="325" t="e">
        <f t="shared" si="7"/>
        <v>#REF!</v>
      </c>
      <c r="BE22" s="325" t="e">
        <f t="shared" si="8"/>
        <v>#REF!</v>
      </c>
      <c r="BF22" s="325" t="e">
        <f t="shared" si="9"/>
        <v>#REF!</v>
      </c>
      <c r="BG22" s="325" t="e">
        <f t="shared" si="10"/>
        <v>#REF!</v>
      </c>
      <c r="BH22" s="325" t="e">
        <f t="shared" si="11"/>
        <v>#REF!</v>
      </c>
      <c r="BI22" s="325" t="e">
        <f t="shared" si="44"/>
        <v>#REF!</v>
      </c>
      <c r="BJ22" s="325" t="s">
        <v>213</v>
      </c>
    </row>
    <row r="23" spans="1:62" ht="17.55" customHeight="1">
      <c r="A23" s="49" t="s">
        <v>32</v>
      </c>
      <c r="B23" s="55">
        <f t="shared" ref="B23:H23" si="47">+B8+B12+B17+B21</f>
        <v>58334.15</v>
      </c>
      <c r="C23" s="55">
        <f t="shared" si="47"/>
        <v>54490.07</v>
      </c>
      <c r="D23" s="55">
        <f t="shared" si="47"/>
        <v>58463.45</v>
      </c>
      <c r="E23" s="55">
        <f t="shared" si="47"/>
        <v>69624.239999999991</v>
      </c>
      <c r="F23" s="55" t="e">
        <f>+F8+F12+F17+F21</f>
        <v>#REF!</v>
      </c>
      <c r="G23" s="55" t="e">
        <f>+G8+G12+G17+G21</f>
        <v>#REF!</v>
      </c>
      <c r="H23" s="55" t="e">
        <f t="shared" si="47"/>
        <v>#REF!</v>
      </c>
      <c r="I23" s="55" t="e">
        <f>+I8+I12+I17+I21</f>
        <v>#REF!</v>
      </c>
      <c r="J23" s="55" t="e">
        <f>+J8+J12+J17+J21</f>
        <v>#REF!</v>
      </c>
      <c r="K23" s="55" t="e">
        <f>+K8+K12+K17+K21</f>
        <v>#REF!</v>
      </c>
      <c r="L23" s="55">
        <v>145962</v>
      </c>
      <c r="M23" s="55" t="e">
        <f>+M8+M12+M17+M21</f>
        <v>#REF!</v>
      </c>
      <c r="N23" s="55" t="e">
        <f>+N8+N12+N17+N21</f>
        <v>#REF!</v>
      </c>
      <c r="O23" s="55" t="e">
        <f>+O8+O12+O17+O21</f>
        <v>#REF!</v>
      </c>
      <c r="P23" s="55" t="e">
        <f>+P8+P12+P17+P21</f>
        <v>#REF!</v>
      </c>
      <c r="Q23" s="55" t="e">
        <f>(#REF!*(100+AN23)/100)</f>
        <v>#REF!</v>
      </c>
      <c r="R23" s="55" t="e">
        <f>(P23*(100+AO23)/100)</f>
        <v>#REF!</v>
      </c>
      <c r="S23" s="146" t="e">
        <f>+S8+S12+S17+S21</f>
        <v>#REF!</v>
      </c>
      <c r="T23" s="146" t="e">
        <f>+T8+T12+T17+T21</f>
        <v>#REF!</v>
      </c>
      <c r="U23" s="48"/>
      <c r="V23" s="98">
        <f t="shared" si="21"/>
        <v>-6.5897591719430215</v>
      </c>
      <c r="W23" s="98">
        <f t="shared" si="22"/>
        <v>7.2919341083613975</v>
      </c>
      <c r="X23" s="98">
        <f t="shared" si="23"/>
        <v>19.090200800671187</v>
      </c>
      <c r="Y23" s="98" t="e">
        <f t="shared" si="24"/>
        <v>#REF!</v>
      </c>
      <c r="Z23" s="59" t="e">
        <f t="shared" si="25"/>
        <v>#REF!</v>
      </c>
      <c r="AA23" s="59" t="e">
        <f t="shared" si="26"/>
        <v>#REF!</v>
      </c>
      <c r="AB23" s="59" t="e">
        <f t="shared" si="27"/>
        <v>#REF!</v>
      </c>
      <c r="AC23" s="59" t="e">
        <f t="shared" si="14"/>
        <v>#REF!</v>
      </c>
      <c r="AD23" s="59" t="e">
        <f t="shared" si="14"/>
        <v>#REF!</v>
      </c>
      <c r="AE23" s="59" t="e">
        <f t="shared" si="14"/>
        <v>#REF!</v>
      </c>
      <c r="AF23" s="327" t="e">
        <f t="shared" si="2"/>
        <v>#REF!</v>
      </c>
      <c r="AG23" s="327" t="e">
        <f>((#REF!/M23)-1)*100</f>
        <v>#REF!</v>
      </c>
      <c r="AH23" s="327" t="e">
        <f>((#REF!/M23)-1)*100</f>
        <v>#REF!</v>
      </c>
      <c r="AI23" s="327" t="e">
        <f>((#REF!/M23)-1)*100</f>
        <v>#REF!</v>
      </c>
      <c r="AJ23" s="111" t="e">
        <f>((#REF!/M23)-1)*100</f>
        <v>#REF!</v>
      </c>
      <c r="AK23" s="327" t="e">
        <f t="shared" si="15"/>
        <v>#REF!</v>
      </c>
      <c r="AL23" s="327" t="e">
        <f t="shared" si="16"/>
        <v>#REF!</v>
      </c>
      <c r="AM23" s="327" t="e">
        <f t="shared" si="16"/>
        <v>#REF!</v>
      </c>
      <c r="AN23" s="327">
        <v>15</v>
      </c>
      <c r="AO23" s="327">
        <v>15</v>
      </c>
      <c r="AP23" s="327" t="e">
        <f>((S23/P23)-1)*100</f>
        <v>#REF!</v>
      </c>
      <c r="AQ23" s="327" t="e">
        <f>((T23/P23)-1)*100</f>
        <v>#REF!</v>
      </c>
      <c r="AR23" s="60"/>
      <c r="AS23" s="59">
        <f t="shared" si="28"/>
        <v>100</v>
      </c>
      <c r="AT23" s="59">
        <f t="shared" si="29"/>
        <v>100</v>
      </c>
      <c r="AU23" s="59">
        <f t="shared" si="30"/>
        <v>100</v>
      </c>
      <c r="AV23" s="59">
        <f t="shared" si="31"/>
        <v>100</v>
      </c>
      <c r="AW23" s="59" t="e">
        <f t="shared" si="32"/>
        <v>#REF!</v>
      </c>
      <c r="AX23" s="59" t="e">
        <f t="shared" si="33"/>
        <v>#REF!</v>
      </c>
      <c r="AY23" s="59" t="e">
        <f t="shared" si="34"/>
        <v>#REF!</v>
      </c>
      <c r="AZ23" s="59" t="e">
        <f t="shared" si="35"/>
        <v>#REF!</v>
      </c>
      <c r="BA23" s="59" t="e">
        <f>+(J23/J$23)*100</f>
        <v>#REF!</v>
      </c>
      <c r="BB23" s="59" t="e">
        <f t="shared" si="37"/>
        <v>#REF!</v>
      </c>
      <c r="BC23" s="327" t="e">
        <f>AVERAGE(AY23:BA23)</f>
        <v>#REF!</v>
      </c>
      <c r="BD23" s="327" t="e">
        <f t="shared" si="7"/>
        <v>#REF!</v>
      </c>
      <c r="BE23" s="327" t="e">
        <f t="shared" si="8"/>
        <v>#REF!</v>
      </c>
      <c r="BF23" s="327" t="e">
        <f t="shared" si="9"/>
        <v>#REF!</v>
      </c>
      <c r="BG23" s="327" t="e">
        <f t="shared" si="10"/>
        <v>#REF!</v>
      </c>
      <c r="BH23" s="327" t="e">
        <f t="shared" si="11"/>
        <v>#REF!</v>
      </c>
      <c r="BI23" s="327" t="e">
        <f t="shared" si="44"/>
        <v>#REF!</v>
      </c>
      <c r="BJ23" s="327" t="e">
        <f t="shared" si="44"/>
        <v>#REF!</v>
      </c>
    </row>
    <row r="24" spans="1:62" ht="17.55" hidden="1" customHeight="1">
      <c r="A24" s="49" t="s">
        <v>32</v>
      </c>
      <c r="B24" s="55">
        <f t="shared" ref="B24:O24" si="48">+B5+B6+B7+B9+B10+B11+B14+B15+B16+B18+B19</f>
        <v>53293.72</v>
      </c>
      <c r="C24" s="55">
        <f t="shared" si="48"/>
        <v>49813.969999999994</v>
      </c>
      <c r="D24" s="55">
        <f t="shared" si="48"/>
        <v>53120.7</v>
      </c>
      <c r="E24" s="55">
        <f t="shared" si="48"/>
        <v>63707.27</v>
      </c>
      <c r="F24" s="55" t="e">
        <f t="shared" si="48"/>
        <v>#REF!</v>
      </c>
      <c r="G24" s="55" t="e">
        <f t="shared" si="48"/>
        <v>#REF!</v>
      </c>
      <c r="H24" s="55" t="e">
        <f t="shared" si="48"/>
        <v>#REF!</v>
      </c>
      <c r="I24" s="55" t="e">
        <f t="shared" si="48"/>
        <v>#REF!</v>
      </c>
      <c r="J24" s="55" t="e">
        <f t="shared" si="48"/>
        <v>#REF!</v>
      </c>
      <c r="K24" s="55" t="e">
        <f t="shared" si="48"/>
        <v>#REF!</v>
      </c>
      <c r="L24" s="55" t="e">
        <f t="shared" si="48"/>
        <v>#REF!</v>
      </c>
      <c r="M24" s="55" t="e">
        <f t="shared" si="48"/>
        <v>#REF!</v>
      </c>
      <c r="N24" s="55" t="e">
        <f t="shared" si="48"/>
        <v>#REF!</v>
      </c>
      <c r="O24" s="55" t="e">
        <f t="shared" si="48"/>
        <v>#REF!</v>
      </c>
      <c r="P24" s="70"/>
      <c r="Q24" s="70"/>
      <c r="R24" s="70"/>
      <c r="S24" s="70"/>
      <c r="T24" s="70"/>
      <c r="U24" s="48"/>
      <c r="V24" s="98">
        <f t="shared" ref="V24:AE26" si="49">((C24/B24)-1)*100</f>
        <v>-6.5293809476989146</v>
      </c>
      <c r="W24" s="98">
        <f t="shared" si="49"/>
        <v>6.6381579303958382</v>
      </c>
      <c r="X24" s="98">
        <f t="shared" si="49"/>
        <v>19.929274275376653</v>
      </c>
      <c r="Y24" s="98" t="e">
        <f t="shared" si="49"/>
        <v>#REF!</v>
      </c>
      <c r="Z24" s="59" t="e">
        <f t="shared" si="49"/>
        <v>#REF!</v>
      </c>
      <c r="AA24" s="59" t="e">
        <f t="shared" si="49"/>
        <v>#REF!</v>
      </c>
      <c r="AB24" s="59" t="e">
        <f t="shared" si="49"/>
        <v>#REF!</v>
      </c>
      <c r="AC24" s="59" t="e">
        <f t="shared" si="49"/>
        <v>#REF!</v>
      </c>
      <c r="AD24" s="59" t="e">
        <f t="shared" si="49"/>
        <v>#REF!</v>
      </c>
      <c r="AE24" s="59" t="e">
        <f t="shared" si="49"/>
        <v>#REF!</v>
      </c>
      <c r="AF24" s="327" t="e">
        <f>((M24/K24)-1)*100</f>
        <v>#REF!</v>
      </c>
      <c r="AG24" s="327" t="e">
        <f>((#REF!/M24)-1)*100</f>
        <v>#REF!</v>
      </c>
      <c r="AH24" s="327" t="e">
        <f>((#REF!/M24)-1)*100</f>
        <v>#REF!</v>
      </c>
      <c r="AI24" s="327" t="e">
        <f>((#REF!/M24)-1)*100</f>
        <v>#REF!</v>
      </c>
      <c r="AJ24" s="111" t="e">
        <f>((#REF!/M24)-1)*100</f>
        <v>#REF!</v>
      </c>
      <c r="AK24" s="327" t="e">
        <f>((N24/M24)-1)*100</f>
        <v>#REF!</v>
      </c>
      <c r="AL24" s="325" t="e">
        <f t="shared" si="16"/>
        <v>#REF!</v>
      </c>
      <c r="AM24" s="325"/>
      <c r="AN24" s="325"/>
      <c r="AO24" s="325"/>
      <c r="AP24" s="325"/>
      <c r="AQ24" s="325"/>
      <c r="AR24" s="60"/>
      <c r="AS24" s="59">
        <f t="shared" ref="AS24:AZ25" si="50">+(B24/B$23)*100</f>
        <v>91.359383825769285</v>
      </c>
      <c r="AT24" s="59">
        <f t="shared" si="50"/>
        <v>91.418436423370338</v>
      </c>
      <c r="AU24" s="59">
        <f t="shared" si="50"/>
        <v>90.861384334999045</v>
      </c>
      <c r="AV24" s="59">
        <f t="shared" si="50"/>
        <v>91.501566121224457</v>
      </c>
      <c r="AW24" s="59" t="e">
        <f t="shared" si="50"/>
        <v>#REF!</v>
      </c>
      <c r="AX24" s="59" t="e">
        <f t="shared" si="50"/>
        <v>#REF!</v>
      </c>
      <c r="AY24" s="59" t="e">
        <f t="shared" si="50"/>
        <v>#REF!</v>
      </c>
      <c r="AZ24" s="59" t="e">
        <f t="shared" si="50"/>
        <v>#REF!</v>
      </c>
      <c r="BA24" s="59" t="e">
        <f>+(J24/J$23)*100</f>
        <v>#REF!</v>
      </c>
      <c r="BB24" s="59" t="e">
        <f>+(K24/K$23)*100</f>
        <v>#REF!</v>
      </c>
      <c r="BC24" s="327" t="e">
        <f>AVERAGE(AY24:BA24)</f>
        <v>#REF!</v>
      </c>
      <c r="BD24" s="327" t="e">
        <f t="shared" ref="BD24:BF26" si="51">+(M24/M$23)*100</f>
        <v>#REF!</v>
      </c>
      <c r="BE24" s="327" t="e">
        <f t="shared" si="51"/>
        <v>#REF!</v>
      </c>
      <c r="BF24" s="327" t="e">
        <f t="shared" si="51"/>
        <v>#REF!</v>
      </c>
      <c r="BG24" s="327" t="e">
        <f>+(#REF!/#REF!)*100</f>
        <v>#REF!</v>
      </c>
      <c r="BH24" s="327" t="e">
        <f>AVERAGE(BF24,BD24,BE24)</f>
        <v>#REF!</v>
      </c>
      <c r="BI24" s="328"/>
      <c r="BJ24" s="328"/>
    </row>
    <row r="25" spans="1:62" ht="17.55" hidden="1" customHeight="1">
      <c r="A25" s="49" t="s">
        <v>32</v>
      </c>
      <c r="B25" s="116">
        <f t="shared" ref="B25:J25" si="52">+B23-B24</f>
        <v>5040.43</v>
      </c>
      <c r="C25" s="116">
        <f t="shared" si="52"/>
        <v>4676.1000000000058</v>
      </c>
      <c r="D25" s="116">
        <f t="shared" si="52"/>
        <v>5342.75</v>
      </c>
      <c r="E25" s="116">
        <f t="shared" si="52"/>
        <v>5916.9699999999939</v>
      </c>
      <c r="F25" s="116" t="e">
        <f t="shared" si="52"/>
        <v>#REF!</v>
      </c>
      <c r="G25" s="116" t="e">
        <f t="shared" si="52"/>
        <v>#REF!</v>
      </c>
      <c r="H25" s="116" t="e">
        <f t="shared" si="52"/>
        <v>#REF!</v>
      </c>
      <c r="I25" s="116" t="e">
        <f t="shared" si="52"/>
        <v>#REF!</v>
      </c>
      <c r="J25" s="116" t="e">
        <f t="shared" si="52"/>
        <v>#REF!</v>
      </c>
      <c r="K25" s="116" t="e">
        <f>+K23-K24</f>
        <v>#REF!</v>
      </c>
      <c r="L25" s="116" t="e">
        <f>+L23-L24</f>
        <v>#REF!</v>
      </c>
      <c r="M25" s="116" t="e">
        <f>+M23-M24</f>
        <v>#REF!</v>
      </c>
      <c r="N25" s="116" t="e">
        <f>+N23-N24</f>
        <v>#REF!</v>
      </c>
      <c r="O25" s="116" t="e">
        <f>+O23-O24</f>
        <v>#REF!</v>
      </c>
      <c r="P25" s="70"/>
      <c r="Q25" s="70"/>
      <c r="R25" s="70"/>
      <c r="S25" s="70"/>
      <c r="T25" s="70"/>
      <c r="U25" s="48"/>
      <c r="V25" s="98">
        <f t="shared" si="49"/>
        <v>-7.2281531535998811</v>
      </c>
      <c r="W25" s="98">
        <f t="shared" si="49"/>
        <v>14.256538568465027</v>
      </c>
      <c r="X25" s="98">
        <f t="shared" si="49"/>
        <v>10.747648682794321</v>
      </c>
      <c r="Y25" s="98" t="e">
        <f t="shared" si="49"/>
        <v>#REF!</v>
      </c>
      <c r="Z25" s="59" t="e">
        <f t="shared" si="49"/>
        <v>#REF!</v>
      </c>
      <c r="AA25" s="59" t="e">
        <f t="shared" si="49"/>
        <v>#REF!</v>
      </c>
      <c r="AB25" s="59" t="e">
        <f t="shared" si="49"/>
        <v>#REF!</v>
      </c>
      <c r="AC25" s="59" t="e">
        <f t="shared" si="49"/>
        <v>#REF!</v>
      </c>
      <c r="AD25" s="59" t="e">
        <f t="shared" si="49"/>
        <v>#REF!</v>
      </c>
      <c r="AE25" s="59" t="e">
        <f t="shared" si="49"/>
        <v>#REF!</v>
      </c>
      <c r="AF25" s="327" t="e">
        <f>((M25/K25)-1)*100</f>
        <v>#REF!</v>
      </c>
      <c r="AG25" s="327" t="e">
        <f>((#REF!/M25)-1)*100</f>
        <v>#REF!</v>
      </c>
      <c r="AH25" s="327" t="e">
        <f>((#REF!/M25)-1)*100</f>
        <v>#REF!</v>
      </c>
      <c r="AI25" s="327" t="e">
        <f>((#REF!/M25)-1)*100</f>
        <v>#REF!</v>
      </c>
      <c r="AJ25" s="111" t="e">
        <f>((#REF!/M25)-1)*100</f>
        <v>#REF!</v>
      </c>
      <c r="AK25" s="327" t="e">
        <f>((N25/M25)-1)*100</f>
        <v>#REF!</v>
      </c>
      <c r="AL25" s="327" t="e">
        <f t="shared" si="16"/>
        <v>#REF!</v>
      </c>
      <c r="AM25" s="328"/>
      <c r="AN25" s="328"/>
      <c r="AO25" s="328"/>
      <c r="AP25" s="328"/>
      <c r="AQ25" s="328"/>
      <c r="AR25" s="60"/>
      <c r="AS25" s="59">
        <f t="shared" si="50"/>
        <v>8.6406161742307042</v>
      </c>
      <c r="AT25" s="59">
        <f t="shared" si="50"/>
        <v>8.5815635766296605</v>
      </c>
      <c r="AU25" s="59">
        <f t="shared" si="50"/>
        <v>9.1386156650009536</v>
      </c>
      <c r="AV25" s="59">
        <f t="shared" si="50"/>
        <v>8.4984338787755451</v>
      </c>
      <c r="AW25" s="59" t="e">
        <f t="shared" si="50"/>
        <v>#REF!</v>
      </c>
      <c r="AX25" s="59" t="e">
        <f t="shared" si="50"/>
        <v>#REF!</v>
      </c>
      <c r="AY25" s="59" t="e">
        <f t="shared" si="50"/>
        <v>#REF!</v>
      </c>
      <c r="AZ25" s="59" t="e">
        <f t="shared" si="50"/>
        <v>#REF!</v>
      </c>
      <c r="BA25" s="59" t="e">
        <f>+(J25/J$23)*100</f>
        <v>#REF!</v>
      </c>
      <c r="BB25" s="59" t="e">
        <f>+(K25/K$23)*100</f>
        <v>#REF!</v>
      </c>
      <c r="BC25" s="327" t="e">
        <f>AVERAGE(AY25:BA25)</f>
        <v>#REF!</v>
      </c>
      <c r="BD25" s="327" t="e">
        <f t="shared" si="51"/>
        <v>#REF!</v>
      </c>
      <c r="BE25" s="327" t="e">
        <f t="shared" si="51"/>
        <v>#REF!</v>
      </c>
      <c r="BF25" s="327" t="e">
        <f t="shared" si="51"/>
        <v>#REF!</v>
      </c>
      <c r="BG25" s="327" t="e">
        <f>+(#REF!/#REF!)*100</f>
        <v>#REF!</v>
      </c>
      <c r="BH25" s="327" t="e">
        <f>AVERAGE(BF25,BD25,BE25)</f>
        <v>#REF!</v>
      </c>
      <c r="BI25" s="328"/>
      <c r="BJ25" s="328"/>
    </row>
    <row r="26" spans="1:62" ht="17.55" customHeight="1">
      <c r="A26" s="49" t="s">
        <v>26</v>
      </c>
      <c r="B26" s="90">
        <f t="shared" ref="B26:L26" si="53">+B5+B6+B7+B9+B10+B11+B14+B15</f>
        <v>37926.43</v>
      </c>
      <c r="C26" s="90">
        <f t="shared" si="53"/>
        <v>35950.339999999997</v>
      </c>
      <c r="D26" s="90">
        <f t="shared" si="53"/>
        <v>37135.839999999997</v>
      </c>
      <c r="E26" s="90">
        <f t="shared" si="53"/>
        <v>45089.29</v>
      </c>
      <c r="F26" s="90" t="e">
        <f t="shared" si="53"/>
        <v>#REF!</v>
      </c>
      <c r="G26" s="90" t="e">
        <f t="shared" si="53"/>
        <v>#REF!</v>
      </c>
      <c r="H26" s="90" t="e">
        <f t="shared" si="53"/>
        <v>#REF!</v>
      </c>
      <c r="I26" s="90" t="e">
        <f t="shared" si="53"/>
        <v>#REF!</v>
      </c>
      <c r="J26" s="90" t="e">
        <f t="shared" si="53"/>
        <v>#REF!</v>
      </c>
      <c r="K26" s="90" t="e">
        <f t="shared" si="53"/>
        <v>#REF!</v>
      </c>
      <c r="L26" s="90" t="e">
        <f t="shared" si="53"/>
        <v>#REF!</v>
      </c>
      <c r="M26" s="90" t="e">
        <f>+M5+M6+M7+M9+M10+M11+M14+M15+M16+M18</f>
        <v>#REF!</v>
      </c>
      <c r="N26" s="90" t="e">
        <f t="shared" ref="N26:T26" si="54">+N5+N6+N7+N9+N10+N11+N14+N15+N16+N18</f>
        <v>#REF!</v>
      </c>
      <c r="O26" s="90" t="e">
        <f t="shared" si="54"/>
        <v>#REF!</v>
      </c>
      <c r="P26" s="90" t="e">
        <f t="shared" si="54"/>
        <v>#REF!</v>
      </c>
      <c r="Q26" s="90" t="e">
        <f t="shared" si="54"/>
        <v>#REF!</v>
      </c>
      <c r="R26" s="90" t="e">
        <f t="shared" si="54"/>
        <v>#REF!</v>
      </c>
      <c r="S26" s="90" t="e">
        <f t="shared" si="54"/>
        <v>#REF!</v>
      </c>
      <c r="T26" s="90" t="e">
        <f t="shared" si="54"/>
        <v>#REF!</v>
      </c>
      <c r="U26" s="48"/>
      <c r="V26" s="98">
        <f t="shared" si="49"/>
        <v>-5.2103243041857761</v>
      </c>
      <c r="W26" s="98">
        <f t="shared" si="49"/>
        <v>3.2976044176494579</v>
      </c>
      <c r="X26" s="98">
        <f t="shared" si="49"/>
        <v>21.417180815083235</v>
      </c>
      <c r="Y26" s="98" t="e">
        <f t="shared" si="49"/>
        <v>#REF!</v>
      </c>
      <c r="Z26" s="59" t="e">
        <f t="shared" si="49"/>
        <v>#REF!</v>
      </c>
      <c r="AA26" s="59" t="e">
        <f t="shared" si="49"/>
        <v>#REF!</v>
      </c>
      <c r="AB26" s="59" t="e">
        <f t="shared" si="49"/>
        <v>#REF!</v>
      </c>
      <c r="AC26" s="59" t="e">
        <f t="shared" si="49"/>
        <v>#REF!</v>
      </c>
      <c r="AD26" s="59" t="e">
        <f t="shared" si="49"/>
        <v>#REF!</v>
      </c>
      <c r="AE26" s="59" t="e">
        <f t="shared" si="49"/>
        <v>#REF!</v>
      </c>
      <c r="AF26" s="327" t="e">
        <f>((M26/K26)-1)*100</f>
        <v>#REF!</v>
      </c>
      <c r="AG26" s="327" t="e">
        <f>((#REF!/M26)-1)*100</f>
        <v>#REF!</v>
      </c>
      <c r="AH26" s="327" t="e">
        <f>((#REF!/M26)-1)*100</f>
        <v>#REF!</v>
      </c>
      <c r="AI26" s="327" t="e">
        <f>((#REF!/M26)-1)*100</f>
        <v>#REF!</v>
      </c>
      <c r="AJ26" s="111" t="e">
        <f>((#REF!/M26)-1)*100</f>
        <v>#REF!</v>
      </c>
      <c r="AK26" s="327" t="e">
        <f>((N26/M26)-1)*100</f>
        <v>#REF!</v>
      </c>
      <c r="AL26" s="327" t="e">
        <f>((O26/N26)-1)*100</f>
        <v>#REF!</v>
      </c>
      <c r="AM26" s="327" t="e">
        <f>((P26/O26)-1)*100</f>
        <v>#REF!</v>
      </c>
      <c r="AN26" s="327"/>
      <c r="AO26" s="327" t="e">
        <f>((R26/P26)-1)*100</f>
        <v>#REF!</v>
      </c>
      <c r="AP26" s="327" t="e">
        <f>((S26/P26)-1)*100</f>
        <v>#REF!</v>
      </c>
      <c r="AQ26" s="327" t="e">
        <f>((T26/P26)-1)*100</f>
        <v>#REF!</v>
      </c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328"/>
      <c r="BD26" s="327" t="e">
        <f t="shared" si="51"/>
        <v>#REF!</v>
      </c>
      <c r="BE26" s="327" t="e">
        <f t="shared" si="51"/>
        <v>#REF!</v>
      </c>
      <c r="BF26" s="327" t="e">
        <f t="shared" si="51"/>
        <v>#REF!</v>
      </c>
      <c r="BG26" s="327" t="e">
        <f>+(P26/P$23)*100</f>
        <v>#REF!</v>
      </c>
      <c r="BH26" s="327" t="e">
        <f>AVERAGE(BG26,BE26,BF26)</f>
        <v>#REF!</v>
      </c>
      <c r="BI26" s="327" t="e">
        <f>+(S26/S$23)*100</f>
        <v>#REF!</v>
      </c>
      <c r="BJ26" s="327" t="e">
        <f>+(T26/T$23)*100</f>
        <v>#REF!</v>
      </c>
    </row>
    <row r="27" spans="1:62" ht="17.55" customHeight="1">
      <c r="A27" s="49" t="s">
        <v>214</v>
      </c>
      <c r="B27" s="55">
        <f t="shared" ref="B27:M27" si="55">+B23-B26</f>
        <v>20407.72</v>
      </c>
      <c r="C27" s="55">
        <f t="shared" si="55"/>
        <v>18539.730000000003</v>
      </c>
      <c r="D27" s="55">
        <f t="shared" si="55"/>
        <v>21327.61</v>
      </c>
      <c r="E27" s="55">
        <f t="shared" si="55"/>
        <v>24534.94999999999</v>
      </c>
      <c r="F27" s="55" t="e">
        <f t="shared" si="55"/>
        <v>#REF!</v>
      </c>
      <c r="G27" s="55" t="e">
        <f t="shared" si="55"/>
        <v>#REF!</v>
      </c>
      <c r="H27" s="55" t="e">
        <f t="shared" si="55"/>
        <v>#REF!</v>
      </c>
      <c r="I27" s="55" t="e">
        <f t="shared" si="55"/>
        <v>#REF!</v>
      </c>
      <c r="J27" s="55" t="e">
        <f t="shared" si="55"/>
        <v>#REF!</v>
      </c>
      <c r="K27" s="55" t="e">
        <f t="shared" si="55"/>
        <v>#REF!</v>
      </c>
      <c r="L27" s="55" t="e">
        <f t="shared" si="55"/>
        <v>#REF!</v>
      </c>
      <c r="M27" s="55" t="e">
        <f t="shared" si="55"/>
        <v>#REF!</v>
      </c>
      <c r="N27" s="55" t="e">
        <f t="shared" ref="N27:T27" si="56">+N23-N26</f>
        <v>#REF!</v>
      </c>
      <c r="O27" s="55" t="e">
        <f t="shared" si="56"/>
        <v>#REF!</v>
      </c>
      <c r="P27" s="55" t="e">
        <f t="shared" si="56"/>
        <v>#REF!</v>
      </c>
      <c r="Q27" s="55" t="e">
        <f t="shared" si="56"/>
        <v>#REF!</v>
      </c>
      <c r="R27" s="55" t="e">
        <f t="shared" si="56"/>
        <v>#REF!</v>
      </c>
      <c r="S27" s="146" t="e">
        <f t="shared" si="56"/>
        <v>#REF!</v>
      </c>
      <c r="T27" s="146" t="e">
        <f t="shared" si="56"/>
        <v>#REF!</v>
      </c>
      <c r="U27" s="48"/>
      <c r="V27" s="98">
        <f t="shared" ref="V27:AE27" si="57">((C27/B27)-1)*100</f>
        <v>-9.1533498107578826</v>
      </c>
      <c r="W27" s="98">
        <f t="shared" si="57"/>
        <v>15.037327943826572</v>
      </c>
      <c r="X27" s="98">
        <f t="shared" si="57"/>
        <v>15.03844078169092</v>
      </c>
      <c r="Y27" s="98" t="e">
        <f t="shared" si="57"/>
        <v>#REF!</v>
      </c>
      <c r="Z27" s="59" t="e">
        <f t="shared" si="57"/>
        <v>#REF!</v>
      </c>
      <c r="AA27" s="59" t="e">
        <f t="shared" si="57"/>
        <v>#REF!</v>
      </c>
      <c r="AB27" s="59" t="e">
        <f t="shared" si="57"/>
        <v>#REF!</v>
      </c>
      <c r="AC27" s="59" t="e">
        <f t="shared" si="57"/>
        <v>#REF!</v>
      </c>
      <c r="AD27" s="59" t="e">
        <f t="shared" si="57"/>
        <v>#REF!</v>
      </c>
      <c r="AE27" s="59" t="e">
        <f t="shared" si="57"/>
        <v>#REF!</v>
      </c>
      <c r="AF27" s="327" t="e">
        <f>((M27/K27)-1)*100</f>
        <v>#REF!</v>
      </c>
      <c r="AG27" s="327" t="e">
        <f>((#REF!/M27)-1)*100</f>
        <v>#REF!</v>
      </c>
      <c r="AH27" s="327" t="e">
        <f>((#REF!/M27)-1)*100</f>
        <v>#REF!</v>
      </c>
      <c r="AI27" s="327" t="e">
        <f>((#REF!/M27)-1)*100</f>
        <v>#REF!</v>
      </c>
      <c r="AJ27" s="111" t="e">
        <f>((#REF!/M27)-1)*100</f>
        <v>#REF!</v>
      </c>
      <c r="AK27" s="327" t="e">
        <f>((N27/M27)-1)*100</f>
        <v>#REF!</v>
      </c>
      <c r="AL27" s="327" t="e">
        <f>((O27/N27)-1)*100</f>
        <v>#REF!</v>
      </c>
      <c r="AM27" s="327" t="e">
        <f>((P27/O27)-1)*100</f>
        <v>#REF!</v>
      </c>
      <c r="AN27" s="327"/>
      <c r="AO27" s="327" t="e">
        <f>((R27/P27)-1)*100</f>
        <v>#REF!</v>
      </c>
      <c r="AP27" s="327" t="e">
        <f>((S27/P27)-1)*100</f>
        <v>#REF!</v>
      </c>
      <c r="AQ27" s="327" t="e">
        <f>((T27/P27)-1)*100</f>
        <v>#REF!</v>
      </c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328"/>
      <c r="BD27" s="327" t="e">
        <f>+(M27/M$23)*100</f>
        <v>#REF!</v>
      </c>
      <c r="BE27" s="327" t="e">
        <f>+(N27/N$23)*100</f>
        <v>#REF!</v>
      </c>
      <c r="BF27" s="327" t="e">
        <f>+(O27/O$23)*100</f>
        <v>#REF!</v>
      </c>
      <c r="BG27" s="327" t="e">
        <f>+(P27/P$23)*100</f>
        <v>#REF!</v>
      </c>
      <c r="BH27" s="327" t="e">
        <f>AVERAGE(BG27,BE27,BF27)</f>
        <v>#REF!</v>
      </c>
      <c r="BI27" s="327" t="e">
        <f>+(S27/S$23)*100</f>
        <v>#REF!</v>
      </c>
      <c r="BJ27" s="327" t="e">
        <f>+(T27/T$23)*100</f>
        <v>#REF!</v>
      </c>
    </row>
    <row r="28" spans="1:62" ht="18" customHeight="1">
      <c r="A28" s="63" t="s">
        <v>154</v>
      </c>
      <c r="K28" s="9"/>
      <c r="L28" s="9"/>
      <c r="M28" s="9"/>
      <c r="N28" s="9"/>
      <c r="O28" s="9"/>
      <c r="P28" s="118"/>
      <c r="Q28" s="118"/>
      <c r="R28" s="118"/>
      <c r="S28" s="29"/>
      <c r="T28" s="118"/>
      <c r="AH28" s="56"/>
      <c r="AI28" s="56"/>
      <c r="AJ28" s="56"/>
      <c r="AK28" s="56"/>
      <c r="AL28" s="56"/>
      <c r="AM28" s="56"/>
      <c r="AN28" s="56"/>
      <c r="AO28" s="56"/>
      <c r="AP28" s="56"/>
      <c r="AQ28" s="56"/>
    </row>
    <row r="29" spans="1:62" ht="17.55" customHeight="1">
      <c r="A29" s="63" t="s">
        <v>215</v>
      </c>
      <c r="M29" s="102"/>
      <c r="N29" s="31"/>
      <c r="O29" s="53"/>
      <c r="P29" s="119"/>
      <c r="Q29" s="119"/>
      <c r="R29" s="119"/>
      <c r="S29" s="119"/>
      <c r="T29" s="119"/>
      <c r="AD29" s="113"/>
      <c r="AE29" s="113"/>
      <c r="AF29" s="406" t="s">
        <v>156</v>
      </c>
      <c r="AG29" s="407"/>
      <c r="AH29" s="407"/>
      <c r="AI29" s="407"/>
      <c r="AJ29" s="407"/>
      <c r="AK29" s="408"/>
      <c r="AL29" s="395" t="s">
        <v>216</v>
      </c>
      <c r="AM29" s="396"/>
      <c r="AN29" s="303"/>
      <c r="AO29" s="406" t="s">
        <v>217</v>
      </c>
      <c r="AP29" s="407"/>
      <c r="AQ29" s="408"/>
      <c r="BD29" s="113"/>
    </row>
    <row r="30" spans="1:62" ht="17.55" customHeight="1">
      <c r="A30" s="63"/>
      <c r="M30" s="102"/>
      <c r="N30" s="31"/>
      <c r="O30" s="53"/>
      <c r="P30" s="70"/>
      <c r="Q30" s="70"/>
      <c r="R30" s="70"/>
      <c r="S30" s="70"/>
      <c r="T30" s="70"/>
      <c r="AD30" s="113"/>
      <c r="AE30" s="113"/>
      <c r="AF30" s="299" t="s">
        <v>159</v>
      </c>
      <c r="AG30" s="122"/>
      <c r="AH30" s="123"/>
      <c r="AI30" s="123"/>
      <c r="AJ30" s="123"/>
      <c r="AK30" s="126" t="s">
        <v>160</v>
      </c>
      <c r="AL30" s="129" t="s">
        <v>160</v>
      </c>
      <c r="AM30" s="130" t="s">
        <v>161</v>
      </c>
      <c r="AN30" s="121" t="s">
        <v>160</v>
      </c>
      <c r="AO30" s="129" t="s">
        <v>160</v>
      </c>
      <c r="AP30" s="124" t="s">
        <v>161</v>
      </c>
      <c r="AQ30" s="300" t="s">
        <v>159</v>
      </c>
      <c r="BD30" s="112"/>
    </row>
    <row r="31" spans="1:62" ht="17.55" customHeight="1">
      <c r="A31" s="63" t="s">
        <v>162</v>
      </c>
      <c r="O31" s="114"/>
      <c r="P31" s="51"/>
      <c r="Q31" s="51"/>
      <c r="R31" s="51"/>
      <c r="S31" s="51"/>
      <c r="T31" s="51"/>
      <c r="AF31" s="330">
        <v>15</v>
      </c>
      <c r="AG31" s="329"/>
      <c r="AH31" s="329"/>
      <c r="AI31" s="329"/>
      <c r="AJ31" s="329"/>
      <c r="AK31" s="331" t="e">
        <f>+$P$23*(100+AF31)/100</f>
        <v>#REF!</v>
      </c>
      <c r="AL31" s="332" t="e">
        <f>+T26</f>
        <v>#REF!</v>
      </c>
      <c r="AM31" s="331" t="e">
        <f>+AL31/10</f>
        <v>#REF!</v>
      </c>
      <c r="AN31" s="333"/>
      <c r="AO31" s="332" t="e">
        <f t="shared" ref="AO31:AO37" si="58">+AK31-AL31</f>
        <v>#REF!</v>
      </c>
      <c r="AP31" s="333" t="e">
        <f>+AO31/2</f>
        <v>#REF!</v>
      </c>
      <c r="AQ31" s="335" t="e">
        <f>((AO31/$P$27)-1)*100</f>
        <v>#REF!</v>
      </c>
      <c r="BD31" s="112"/>
    </row>
    <row r="32" spans="1:62" ht="17.55" customHeight="1">
      <c r="A32" s="49" t="s">
        <v>32</v>
      </c>
      <c r="B32" s="55">
        <f t="shared" ref="B32:N32" si="59">+B23/12</f>
        <v>4861.1791666666668</v>
      </c>
      <c r="C32" s="55">
        <f t="shared" si="59"/>
        <v>4540.8391666666666</v>
      </c>
      <c r="D32" s="55">
        <f t="shared" si="59"/>
        <v>4871.9541666666664</v>
      </c>
      <c r="E32" s="55">
        <f t="shared" si="59"/>
        <v>5802.0199999999995</v>
      </c>
      <c r="F32" s="55" t="e">
        <f t="shared" si="59"/>
        <v>#REF!</v>
      </c>
      <c r="G32" s="55" t="e">
        <f t="shared" si="59"/>
        <v>#REF!</v>
      </c>
      <c r="H32" s="55" t="e">
        <f t="shared" si="59"/>
        <v>#REF!</v>
      </c>
      <c r="I32" s="55" t="e">
        <f t="shared" si="59"/>
        <v>#REF!</v>
      </c>
      <c r="J32" s="55" t="e">
        <f t="shared" si="59"/>
        <v>#REF!</v>
      </c>
      <c r="K32" s="55" t="e">
        <f t="shared" si="59"/>
        <v>#REF!</v>
      </c>
      <c r="L32" s="55">
        <f t="shared" si="59"/>
        <v>12163.5</v>
      </c>
      <c r="M32" s="55" t="e">
        <f t="shared" si="59"/>
        <v>#REF!</v>
      </c>
      <c r="N32" s="55" t="e">
        <f t="shared" si="59"/>
        <v>#REF!</v>
      </c>
      <c r="O32" s="55" t="e">
        <f t="shared" ref="O32:T32" si="60">+O23/12</f>
        <v>#REF!</v>
      </c>
      <c r="P32" s="55" t="e">
        <f t="shared" si="60"/>
        <v>#REF!</v>
      </c>
      <c r="Q32" s="55" t="e">
        <f t="shared" si="60"/>
        <v>#REF!</v>
      </c>
      <c r="R32" s="55" t="e">
        <f t="shared" si="60"/>
        <v>#REF!</v>
      </c>
      <c r="S32" s="146" t="e">
        <f t="shared" si="60"/>
        <v>#REF!</v>
      </c>
      <c r="T32" s="146" t="e">
        <f t="shared" si="60"/>
        <v>#REF!</v>
      </c>
      <c r="AA32" s="74"/>
      <c r="AD32" s="112"/>
      <c r="AE32" s="112"/>
      <c r="AF32" s="147">
        <v>18</v>
      </c>
      <c r="AG32" s="8"/>
      <c r="AH32" s="120"/>
      <c r="AI32" s="120"/>
      <c r="AJ32" s="120"/>
      <c r="AK32" s="128" t="e">
        <f t="shared" ref="AK32:AK37" si="61">+$P$23*(100+AF32)/100</f>
        <v>#REF!</v>
      </c>
      <c r="AL32" s="131" t="e">
        <f t="shared" ref="AL32:AL37" si="62">+AL31</f>
        <v>#REF!</v>
      </c>
      <c r="AM32" s="128" t="e">
        <f>+AL32/10</f>
        <v>#REF!</v>
      </c>
      <c r="AN32" s="125"/>
      <c r="AO32" s="131" t="e">
        <f t="shared" si="58"/>
        <v>#REF!</v>
      </c>
      <c r="AP32" s="141" t="e">
        <f t="shared" ref="AP32:AP37" si="63">+AO32/2</f>
        <v>#REF!</v>
      </c>
      <c r="AQ32" s="132" t="e">
        <f t="shared" ref="AQ32:AQ37" si="64">((AO32/$P$27)-1)*100</f>
        <v>#REF!</v>
      </c>
      <c r="BD32" s="112"/>
    </row>
    <row r="33" spans="1:56" ht="18" hidden="1" customHeight="1">
      <c r="A33" s="49" t="s">
        <v>28</v>
      </c>
      <c r="B33" s="55">
        <f t="shared" ref="B33:N33" si="65">+B24/11</f>
        <v>4844.8836363636365</v>
      </c>
      <c r="C33" s="55">
        <f t="shared" si="65"/>
        <v>4528.5427272727266</v>
      </c>
      <c r="D33" s="55">
        <f t="shared" si="65"/>
        <v>4829.1545454545449</v>
      </c>
      <c r="E33" s="55">
        <f t="shared" si="65"/>
        <v>5791.57</v>
      </c>
      <c r="F33" s="55" t="e">
        <f t="shared" si="65"/>
        <v>#REF!</v>
      </c>
      <c r="G33" s="55" t="e">
        <f t="shared" si="65"/>
        <v>#REF!</v>
      </c>
      <c r="H33" s="55" t="e">
        <f t="shared" si="65"/>
        <v>#REF!</v>
      </c>
      <c r="I33" s="55" t="e">
        <f t="shared" si="65"/>
        <v>#REF!</v>
      </c>
      <c r="J33" s="55" t="e">
        <f t="shared" si="65"/>
        <v>#REF!</v>
      </c>
      <c r="K33" s="55" t="e">
        <f>+K24/12</f>
        <v>#REF!</v>
      </c>
      <c r="L33" s="55" t="e">
        <f t="shared" si="65"/>
        <v>#REF!</v>
      </c>
      <c r="M33" s="55" t="e">
        <f t="shared" si="65"/>
        <v>#REF!</v>
      </c>
      <c r="N33" s="55" t="e">
        <f t="shared" si="65"/>
        <v>#REF!</v>
      </c>
      <c r="O33" s="55" t="e">
        <f>+O24/11</f>
        <v>#REF!</v>
      </c>
      <c r="P33" s="70"/>
      <c r="Q33" s="70"/>
      <c r="R33" s="70"/>
      <c r="S33" s="70"/>
      <c r="T33" s="70"/>
      <c r="AA33" s="74"/>
      <c r="AD33" s="112"/>
      <c r="AE33" s="112"/>
      <c r="AF33" s="147"/>
      <c r="AG33" s="8"/>
      <c r="AH33" s="120"/>
      <c r="AI33" s="120"/>
      <c r="AJ33" s="120"/>
      <c r="AK33" s="128" t="e">
        <f t="shared" si="61"/>
        <v>#REF!</v>
      </c>
      <c r="AL33" s="131" t="e">
        <f t="shared" si="62"/>
        <v>#REF!</v>
      </c>
      <c r="AM33" s="128" t="e">
        <f>+AL33/8</f>
        <v>#REF!</v>
      </c>
      <c r="AN33" s="125"/>
      <c r="AO33" s="131" t="e">
        <f t="shared" si="58"/>
        <v>#REF!</v>
      </c>
      <c r="AP33" s="333" t="e">
        <f t="shared" si="63"/>
        <v>#REF!</v>
      </c>
      <c r="AQ33" s="132" t="e">
        <f t="shared" si="64"/>
        <v>#REF!</v>
      </c>
      <c r="BD33" s="112"/>
    </row>
    <row r="34" spans="1:56" ht="18" hidden="1" customHeight="1">
      <c r="A34" s="49" t="s">
        <v>29</v>
      </c>
      <c r="B34" s="55">
        <f t="shared" ref="B34:N34" si="66">+B25</f>
        <v>5040.43</v>
      </c>
      <c r="C34" s="55">
        <f t="shared" si="66"/>
        <v>4676.1000000000058</v>
      </c>
      <c r="D34" s="55">
        <f t="shared" si="66"/>
        <v>5342.75</v>
      </c>
      <c r="E34" s="55">
        <f t="shared" si="66"/>
        <v>5916.9699999999939</v>
      </c>
      <c r="F34" s="55" t="e">
        <f t="shared" si="66"/>
        <v>#REF!</v>
      </c>
      <c r="G34" s="55" t="e">
        <f t="shared" si="66"/>
        <v>#REF!</v>
      </c>
      <c r="H34" s="55" t="e">
        <f t="shared" si="66"/>
        <v>#REF!</v>
      </c>
      <c r="I34" s="55" t="e">
        <f t="shared" si="66"/>
        <v>#REF!</v>
      </c>
      <c r="J34" s="55" t="e">
        <f t="shared" si="66"/>
        <v>#REF!</v>
      </c>
      <c r="K34" s="55" t="e">
        <f>+K25/12</f>
        <v>#REF!</v>
      </c>
      <c r="L34" s="55" t="e">
        <f t="shared" si="66"/>
        <v>#REF!</v>
      </c>
      <c r="M34" s="55" t="e">
        <f t="shared" si="66"/>
        <v>#REF!</v>
      </c>
      <c r="N34" s="55" t="e">
        <f t="shared" si="66"/>
        <v>#REF!</v>
      </c>
      <c r="O34" s="55" t="e">
        <f>+O25</f>
        <v>#REF!</v>
      </c>
      <c r="P34" s="70"/>
      <c r="Q34" s="70"/>
      <c r="R34" s="70"/>
      <c r="S34" s="70"/>
      <c r="T34" s="70"/>
      <c r="AA34" s="74"/>
      <c r="AD34" s="112"/>
      <c r="AE34" s="112"/>
      <c r="AF34" s="147"/>
      <c r="AG34" s="8"/>
      <c r="AH34" s="120"/>
      <c r="AI34" s="120"/>
      <c r="AJ34" s="120"/>
      <c r="AK34" s="128" t="e">
        <f t="shared" si="61"/>
        <v>#REF!</v>
      </c>
      <c r="AL34" s="131" t="e">
        <f t="shared" si="62"/>
        <v>#REF!</v>
      </c>
      <c r="AM34" s="128" t="e">
        <f>+AL34/8</f>
        <v>#REF!</v>
      </c>
      <c r="AN34" s="125"/>
      <c r="AO34" s="131" t="e">
        <f t="shared" si="58"/>
        <v>#REF!</v>
      </c>
      <c r="AP34" s="333" t="e">
        <f t="shared" si="63"/>
        <v>#REF!</v>
      </c>
      <c r="AQ34" s="132" t="e">
        <f t="shared" si="64"/>
        <v>#REF!</v>
      </c>
      <c r="BD34" s="112"/>
    </row>
    <row r="35" spans="1:56" ht="17.55" customHeight="1">
      <c r="A35" s="49" t="s">
        <v>26</v>
      </c>
      <c r="B35" s="55">
        <f t="shared" ref="B35:L35" si="67">+B26/8</f>
        <v>4740.80375</v>
      </c>
      <c r="C35" s="55">
        <f t="shared" si="67"/>
        <v>4493.7924999999996</v>
      </c>
      <c r="D35" s="55">
        <f t="shared" si="67"/>
        <v>4641.9799999999996</v>
      </c>
      <c r="E35" s="55">
        <f t="shared" si="67"/>
        <v>5636.1612500000001</v>
      </c>
      <c r="F35" s="55" t="e">
        <f t="shared" si="67"/>
        <v>#REF!</v>
      </c>
      <c r="G35" s="55" t="e">
        <f t="shared" si="67"/>
        <v>#REF!</v>
      </c>
      <c r="H35" s="55" t="e">
        <f t="shared" si="67"/>
        <v>#REF!</v>
      </c>
      <c r="I35" s="55" t="e">
        <f t="shared" si="67"/>
        <v>#REF!</v>
      </c>
      <c r="J35" s="55" t="e">
        <f t="shared" si="67"/>
        <v>#REF!</v>
      </c>
      <c r="K35" s="55" t="e">
        <f t="shared" si="67"/>
        <v>#REF!</v>
      </c>
      <c r="L35" s="55" t="e">
        <f t="shared" si="67"/>
        <v>#REF!</v>
      </c>
      <c r="M35" s="55" t="e">
        <f t="shared" ref="M35:T35" si="68">+M26/10</f>
        <v>#REF!</v>
      </c>
      <c r="N35" s="55" t="e">
        <f t="shared" si="68"/>
        <v>#REF!</v>
      </c>
      <c r="O35" s="55" t="e">
        <f t="shared" si="68"/>
        <v>#REF!</v>
      </c>
      <c r="P35" s="55" t="e">
        <f t="shared" si="68"/>
        <v>#REF!</v>
      </c>
      <c r="Q35" s="55" t="e">
        <f t="shared" si="68"/>
        <v>#REF!</v>
      </c>
      <c r="R35" s="55" t="e">
        <f t="shared" si="68"/>
        <v>#REF!</v>
      </c>
      <c r="S35" s="55" t="e">
        <f t="shared" si="68"/>
        <v>#REF!</v>
      </c>
      <c r="T35" s="55" t="e">
        <f t="shared" si="68"/>
        <v>#REF!</v>
      </c>
      <c r="AD35" s="112"/>
      <c r="AE35" s="112"/>
      <c r="AF35" s="350">
        <v>20</v>
      </c>
      <c r="AG35" s="329"/>
      <c r="AH35" s="328"/>
      <c r="AI35" s="328"/>
      <c r="AJ35" s="328"/>
      <c r="AK35" s="331" t="e">
        <f t="shared" si="61"/>
        <v>#REF!</v>
      </c>
      <c r="AL35" s="332" t="e">
        <f t="shared" si="62"/>
        <v>#REF!</v>
      </c>
      <c r="AM35" s="331" t="e">
        <f>+AL35/10</f>
        <v>#REF!</v>
      </c>
      <c r="AN35" s="333"/>
      <c r="AO35" s="332" t="e">
        <f t="shared" si="58"/>
        <v>#REF!</v>
      </c>
      <c r="AP35" s="333" t="e">
        <f t="shared" si="63"/>
        <v>#REF!</v>
      </c>
      <c r="AQ35" s="335" t="e">
        <f t="shared" si="64"/>
        <v>#REF!</v>
      </c>
      <c r="BD35" s="112"/>
    </row>
    <row r="36" spans="1:56" ht="17.55" customHeight="1">
      <c r="A36" s="49" t="s">
        <v>214</v>
      </c>
      <c r="B36" s="55">
        <f t="shared" ref="B36:L36" si="69">+B27/4</f>
        <v>5101.93</v>
      </c>
      <c r="C36" s="55">
        <f t="shared" si="69"/>
        <v>4634.9325000000008</v>
      </c>
      <c r="D36" s="55">
        <f t="shared" si="69"/>
        <v>5331.9025000000001</v>
      </c>
      <c r="E36" s="55">
        <f t="shared" si="69"/>
        <v>6133.7374999999975</v>
      </c>
      <c r="F36" s="55" t="e">
        <f t="shared" si="69"/>
        <v>#REF!</v>
      </c>
      <c r="G36" s="55" t="e">
        <f t="shared" si="69"/>
        <v>#REF!</v>
      </c>
      <c r="H36" s="55" t="e">
        <f t="shared" si="69"/>
        <v>#REF!</v>
      </c>
      <c r="I36" s="55" t="e">
        <f t="shared" si="69"/>
        <v>#REF!</v>
      </c>
      <c r="J36" s="55" t="e">
        <f t="shared" si="69"/>
        <v>#REF!</v>
      </c>
      <c r="K36" s="55" t="e">
        <f t="shared" si="69"/>
        <v>#REF!</v>
      </c>
      <c r="L36" s="55" t="e">
        <f t="shared" si="69"/>
        <v>#REF!</v>
      </c>
      <c r="M36" s="55" t="e">
        <f>+M27/2</f>
        <v>#REF!</v>
      </c>
      <c r="N36" s="55" t="e">
        <f t="shared" ref="N36:T36" si="70">+N27/2</f>
        <v>#REF!</v>
      </c>
      <c r="O36" s="55" t="e">
        <f t="shared" si="70"/>
        <v>#REF!</v>
      </c>
      <c r="P36" s="55" t="e">
        <f t="shared" si="70"/>
        <v>#REF!</v>
      </c>
      <c r="Q36" s="55" t="e">
        <f t="shared" si="70"/>
        <v>#REF!</v>
      </c>
      <c r="R36" s="55" t="e">
        <f t="shared" si="70"/>
        <v>#REF!</v>
      </c>
      <c r="S36" s="146" t="e">
        <f t="shared" si="70"/>
        <v>#REF!</v>
      </c>
      <c r="T36" s="146" t="e">
        <f t="shared" si="70"/>
        <v>#REF!</v>
      </c>
      <c r="AF36" s="147">
        <v>22</v>
      </c>
      <c r="AG36" s="8"/>
      <c r="AH36" s="120"/>
      <c r="AI36" s="120"/>
      <c r="AJ36" s="120"/>
      <c r="AK36" s="128" t="e">
        <f t="shared" si="61"/>
        <v>#REF!</v>
      </c>
      <c r="AL36" s="131" t="e">
        <f t="shared" si="62"/>
        <v>#REF!</v>
      </c>
      <c r="AM36" s="128" t="e">
        <f>+AL36/10</f>
        <v>#REF!</v>
      </c>
      <c r="AN36" s="125"/>
      <c r="AO36" s="131" t="e">
        <f t="shared" si="58"/>
        <v>#REF!</v>
      </c>
      <c r="AP36" s="141" t="e">
        <f t="shared" si="63"/>
        <v>#REF!</v>
      </c>
      <c r="AQ36" s="132" t="e">
        <f t="shared" si="64"/>
        <v>#REF!</v>
      </c>
    </row>
    <row r="37" spans="1:56" ht="17.55" customHeight="1">
      <c r="AF37" s="148">
        <v>24</v>
      </c>
      <c r="AG37" s="134"/>
      <c r="AH37" s="135"/>
      <c r="AI37" s="135"/>
      <c r="AJ37" s="135"/>
      <c r="AK37" s="136" t="e">
        <f t="shared" si="61"/>
        <v>#REF!</v>
      </c>
      <c r="AL37" s="137" t="e">
        <f t="shared" si="62"/>
        <v>#REF!</v>
      </c>
      <c r="AM37" s="136" t="e">
        <f>+AL37/10</f>
        <v>#REF!</v>
      </c>
      <c r="AN37" s="138"/>
      <c r="AO37" s="137" t="e">
        <f t="shared" si="58"/>
        <v>#REF!</v>
      </c>
      <c r="AP37" s="142" t="e">
        <f t="shared" si="63"/>
        <v>#REF!</v>
      </c>
      <c r="AQ37" s="139" t="e">
        <f t="shared" si="64"/>
        <v>#REF!</v>
      </c>
    </row>
  </sheetData>
  <mergeCells count="5">
    <mergeCell ref="A1:BH1"/>
    <mergeCell ref="BD2:BJ2"/>
    <mergeCell ref="AF29:AK29"/>
    <mergeCell ref="AO29:AQ29"/>
    <mergeCell ref="AL29:AM29"/>
  </mergeCells>
  <phoneticPr fontId="0" type="noConversion"/>
  <printOptions horizontalCentered="1"/>
  <pageMargins left="0.35433070866141736" right="0.35433070866141736" top="0" bottom="0" header="0.19685039370078741" footer="0.19685039370078741"/>
  <pageSetup paperSize="9" orientation="landscape" r:id="rId1"/>
  <headerFooter alignWithMargins="0">
    <oddFooter>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AB80"/>
  <sheetViews>
    <sheetView tabSelected="1" view="pageBreakPreview" zoomScale="60" zoomScaleNormal="74" workbookViewId="0">
      <selection activeCell="AD39" sqref="AD39"/>
    </sheetView>
  </sheetViews>
  <sheetFormatPr defaultColWidth="11.75" defaultRowHeight="17.25" customHeight="1"/>
  <cols>
    <col min="1" max="1" width="59.75" style="296" customWidth="1"/>
    <col min="2" max="6" width="15" style="352" customWidth="1"/>
    <col min="7" max="14" width="11.25" style="352" customWidth="1"/>
    <col min="15" max="15" width="0" style="352" hidden="1" customWidth="1"/>
    <col min="16" max="16" width="10.375" style="352" hidden="1" customWidth="1"/>
    <col min="17" max="18" width="8.375" style="352" hidden="1" customWidth="1"/>
    <col min="19" max="20" width="10.375" style="352" hidden="1" customWidth="1"/>
    <col min="21" max="22" width="8.25" style="352" hidden="1" customWidth="1"/>
    <col min="23" max="23" width="10.375" style="352" hidden="1" customWidth="1"/>
    <col min="24" max="24" width="17.25" style="352" hidden="1" customWidth="1"/>
    <col min="25" max="27" width="13.375" style="352" hidden="1" customWidth="1"/>
    <col min="28" max="28" width="15.375" style="352" hidden="1" customWidth="1"/>
    <col min="29" max="16384" width="11.75" style="352"/>
  </cols>
  <sheetData>
    <row r="1" spans="1:28" ht="22.5" customHeight="1">
      <c r="A1" s="390" t="s">
        <v>230</v>
      </c>
      <c r="B1" s="390"/>
      <c r="C1" s="390"/>
      <c r="D1" s="390"/>
      <c r="E1" s="390"/>
      <c r="F1" s="390"/>
    </row>
    <row r="2" spans="1:28" ht="19.5" customHeight="1">
      <c r="A2" s="391" t="s">
        <v>9</v>
      </c>
      <c r="B2" s="385" t="s">
        <v>232</v>
      </c>
      <c r="C2" s="385"/>
      <c r="D2" s="385"/>
      <c r="E2" s="385"/>
      <c r="F2" s="386"/>
      <c r="G2" s="385" t="s">
        <v>39</v>
      </c>
      <c r="H2" s="385"/>
      <c r="I2" s="385"/>
      <c r="J2" s="385"/>
      <c r="K2" s="386" t="s">
        <v>40</v>
      </c>
      <c r="L2" s="387"/>
      <c r="M2" s="387"/>
      <c r="N2" s="388"/>
      <c r="P2" s="385" t="s">
        <v>39</v>
      </c>
      <c r="Q2" s="385"/>
      <c r="R2" s="385"/>
      <c r="S2" s="385"/>
      <c r="T2" s="386" t="s">
        <v>40</v>
      </c>
      <c r="U2" s="387"/>
      <c r="V2" s="387"/>
      <c r="W2" s="388"/>
      <c r="X2" s="389" t="s">
        <v>233</v>
      </c>
      <c r="Y2" s="389"/>
      <c r="Z2" s="389"/>
      <c r="AA2" s="389"/>
      <c r="AB2" s="389"/>
    </row>
    <row r="3" spans="1:28" ht="17.25" customHeight="1">
      <c r="A3" s="392"/>
      <c r="B3" s="354">
        <v>2567</v>
      </c>
      <c r="C3" s="354">
        <v>2567</v>
      </c>
      <c r="D3" s="354">
        <v>2568</v>
      </c>
      <c r="E3" s="354">
        <v>2568</v>
      </c>
      <c r="F3" s="355">
        <v>2568</v>
      </c>
      <c r="G3" s="354">
        <f>B3</f>
        <v>2567</v>
      </c>
      <c r="H3" s="354">
        <f>D3</f>
        <v>2568</v>
      </c>
      <c r="I3" s="354">
        <f>E3</f>
        <v>2568</v>
      </c>
      <c r="J3" s="355">
        <f>F3</f>
        <v>2568</v>
      </c>
      <c r="K3" s="354">
        <f>B3</f>
        <v>2567</v>
      </c>
      <c r="L3" s="354">
        <f>D3</f>
        <v>2568</v>
      </c>
      <c r="M3" s="354">
        <f>E3</f>
        <v>2568</v>
      </c>
      <c r="N3" s="354">
        <f>F3</f>
        <v>2568</v>
      </c>
      <c r="P3" s="356">
        <f>G3</f>
        <v>2567</v>
      </c>
      <c r="Q3" s="356">
        <f t="shared" ref="Q3" si="0">H3</f>
        <v>2568</v>
      </c>
      <c r="R3" s="356">
        <f t="shared" ref="R3" si="1">I3</f>
        <v>2568</v>
      </c>
      <c r="S3" s="356">
        <f t="shared" ref="S3" si="2">J3</f>
        <v>2568</v>
      </c>
      <c r="T3" s="356">
        <f t="shared" ref="T3" si="3">K3</f>
        <v>2567</v>
      </c>
      <c r="U3" s="356">
        <f t="shared" ref="U3" si="4">L3</f>
        <v>2568</v>
      </c>
      <c r="V3" s="356">
        <f t="shared" ref="V3" si="5">M3</f>
        <v>2568</v>
      </c>
      <c r="W3" s="356">
        <f t="shared" ref="W3" si="6">N3</f>
        <v>2568</v>
      </c>
      <c r="X3" s="353">
        <f>'T3_data(t-1)'!B2</f>
        <v>2566</v>
      </c>
      <c r="Y3" s="353">
        <f>'T3_data(t-1)'!C2</f>
        <v>2566</v>
      </c>
      <c r="Z3" s="353">
        <f>'T3_data(t-1)'!D2</f>
        <v>2567</v>
      </c>
      <c r="AA3" s="353">
        <f>'T3_data(t-1)'!E2</f>
        <v>2567</v>
      </c>
      <c r="AB3" s="353">
        <f>'T3_data(t-1)'!F2</f>
        <v>2567</v>
      </c>
    </row>
    <row r="4" spans="1:28" ht="17.25" customHeight="1">
      <c r="A4" s="393"/>
      <c r="B4" s="356" t="s">
        <v>41</v>
      </c>
      <c r="C4" s="356" t="str">
        <f>'T3_data(t)'!C3</f>
        <v>ต.ค.</v>
      </c>
      <c r="D4" s="356" t="str">
        <f>'T3_data(t)'!D3</f>
        <v>ก.ย.</v>
      </c>
      <c r="E4" s="356" t="str">
        <f>'T3_data(t)'!E3</f>
        <v>ต.ค.</v>
      </c>
      <c r="F4" s="357" t="str">
        <f>'T3_data(t)'!F3</f>
        <v>ม.ค.-ต.ค.</v>
      </c>
      <c r="G4" s="356" t="str">
        <f>'T3_data(t)'!G3</f>
        <v>ม.ค.-ธ.ค.</v>
      </c>
      <c r="H4" s="356" t="str">
        <f>'T3_data(t)'!H3</f>
        <v>ก.ย.</v>
      </c>
      <c r="I4" s="356" t="str">
        <f>'T3_data(t)'!I3</f>
        <v>ต.ค.</v>
      </c>
      <c r="J4" s="356" t="str">
        <f>'T3_data(t)'!J3</f>
        <v>ม.ค.-ต.ค.</v>
      </c>
      <c r="K4" s="356" t="str">
        <f>'T3_data(t)'!K3</f>
        <v>ม.ค.-ธ.ค.</v>
      </c>
      <c r="L4" s="356" t="str">
        <f>'T3_data(t)'!L3</f>
        <v>ก.ย.</v>
      </c>
      <c r="M4" s="356" t="str">
        <f>'T3_data(t)'!M3</f>
        <v>ต.ค.</v>
      </c>
      <c r="N4" s="356" t="str">
        <f>'T3_data(t)'!N3</f>
        <v>ม.ค.-ต.ค.</v>
      </c>
      <c r="P4" s="356" t="str">
        <f>G4</f>
        <v>ม.ค.-ธ.ค.</v>
      </c>
      <c r="Q4" s="356" t="str">
        <f t="shared" ref="Q4:W4" si="7">H4</f>
        <v>ก.ย.</v>
      </c>
      <c r="R4" s="356" t="str">
        <f t="shared" si="7"/>
        <v>ต.ค.</v>
      </c>
      <c r="S4" s="356" t="str">
        <f t="shared" si="7"/>
        <v>ม.ค.-ต.ค.</v>
      </c>
      <c r="T4" s="356" t="str">
        <f t="shared" si="7"/>
        <v>ม.ค.-ธ.ค.</v>
      </c>
      <c r="U4" s="356" t="str">
        <f t="shared" si="7"/>
        <v>ก.ย.</v>
      </c>
      <c r="V4" s="356" t="str">
        <f t="shared" si="7"/>
        <v>ต.ค.</v>
      </c>
      <c r="W4" s="356" t="str">
        <f t="shared" si="7"/>
        <v>ม.ค.-ต.ค.</v>
      </c>
      <c r="X4" s="353" t="str">
        <f>'T3_data(t-1)'!B3</f>
        <v>ม.ค.-ธ.ค.</v>
      </c>
      <c r="Y4" s="353" t="str">
        <f>'T3_data(t-1)'!C3</f>
        <v>ต.ค.</v>
      </c>
      <c r="Z4" s="353" t="str">
        <f>'T3_data(t-1)'!D3</f>
        <v>ก.ย.</v>
      </c>
      <c r="AA4" s="353" t="str">
        <f>'T3_data(t-1)'!E3</f>
        <v>ต.ค.</v>
      </c>
      <c r="AB4" s="353" t="str">
        <f>'T3_data(t-1)'!F3</f>
        <v>ม.ค.-ต.ค.</v>
      </c>
    </row>
    <row r="5" spans="1:28" s="361" customFormat="1" ht="19.5" customHeight="1">
      <c r="A5" s="291" t="s">
        <v>42</v>
      </c>
      <c r="B5" s="358">
        <f>VLOOKUP($A5,'T3_data(t)'!$A:$N,2,FALSE)</f>
        <v>300739.78999999998</v>
      </c>
      <c r="C5" s="358">
        <f>VLOOKUP($A5,'T3_data(t)'!$A:$N,3,FALSE)</f>
        <v>27290.14</v>
      </c>
      <c r="D5" s="358">
        <f>VLOOKUP($A5,'T3_data(t)'!$A:$N,4,FALSE)</f>
        <v>30970.7</v>
      </c>
      <c r="E5" s="358">
        <f>VLOOKUP($A5,'T3_data(t)'!$A:$N,5,FALSE)</f>
        <v>28835.59</v>
      </c>
      <c r="F5" s="359">
        <f>VLOOKUP($A5,'T3_data(t)'!$A:$N,6,FALSE)</f>
        <v>282982.08</v>
      </c>
      <c r="G5" s="360">
        <f>VLOOKUP($A5,'T3_data(t)'!$A:$N,7,FALSE)</f>
        <v>5.5</v>
      </c>
      <c r="H5" s="360">
        <f>VLOOKUP($A5,'T3_data(t)'!$A:$N,8,FALSE)</f>
        <v>19</v>
      </c>
      <c r="I5" s="360">
        <f>VLOOKUP($A5,'T3_data(t)'!$A:$N,9,FALSE)</f>
        <v>5.66</v>
      </c>
      <c r="J5" s="360">
        <f>VLOOKUP($A5,'T3_data(t)'!$A:$N,10,FALSE)</f>
        <v>13.04</v>
      </c>
      <c r="K5" s="360">
        <f>VLOOKUP($A5,'T3_data(t)'!$A:$N,11,FALSE)</f>
        <v>100</v>
      </c>
      <c r="L5" s="360">
        <f>VLOOKUP($A5,'T3_data(t)'!$A:$N,12,FALSE)</f>
        <v>100</v>
      </c>
      <c r="M5" s="360">
        <f>VLOOKUP($A5,'T3_data(t)'!$A:$N,13,FALSE)</f>
        <v>100</v>
      </c>
      <c r="N5" s="360">
        <f>VLOOKUP($A5,'T3_data(t)'!$A:$N,14,FALSE)</f>
        <v>100</v>
      </c>
      <c r="P5" s="362" t="str">
        <f>IF(FIXED(G5,1)="0.0",IF(FIXED(G5,2)="0.00",FIXED(G5,3),FIXED(G5,2)),FIXED(G5,1))</f>
        <v>5.5</v>
      </c>
      <c r="Q5" s="362" t="str">
        <f t="shared" ref="Q5:S5" si="8">IF(FIXED(H5,1)="0.0",IF(FIXED(H5,2)="0.00",FIXED(H5,3),FIXED(H5,2)),FIXED(H5,1))</f>
        <v>19.0</v>
      </c>
      <c r="R5" s="362" t="str">
        <f t="shared" si="8"/>
        <v>5.7</v>
      </c>
      <c r="S5" s="362" t="str">
        <f t="shared" si="8"/>
        <v>13.0</v>
      </c>
      <c r="T5" s="362" t="str">
        <f t="shared" ref="T5:T9" si="9">IF(FIXED(K5,1)="0.0",IF(FIXED(K5,2)="0.00",FIXED(K5,3),FIXED(K5,2)),FIXED(K5,1))</f>
        <v>100.0</v>
      </c>
      <c r="U5" s="362" t="str">
        <f t="shared" ref="U5:U9" si="10">IF(FIXED(L5,1)="0.0",IF(FIXED(L5,2)="0.00",FIXED(L5,3),FIXED(L5,2)),FIXED(L5,1))</f>
        <v>100.0</v>
      </c>
      <c r="V5" s="362" t="str">
        <f t="shared" ref="V5:V9" si="11">IF(FIXED(M5,1)="0.0",IF(FIXED(M5,2)="0.00",FIXED(M5,3),FIXED(M5,2)),FIXED(M5,1))</f>
        <v>100.0</v>
      </c>
      <c r="W5" s="362" t="str">
        <f t="shared" ref="W5:W9" si="12">IF(FIXED(N5,1)="0.0",IF(FIXED(N5,2)="0.00",FIXED(N5,3),FIXED(N5,2)),FIXED(N5,1))</f>
        <v>100.0</v>
      </c>
    </row>
    <row r="6" spans="1:28" s="361" customFormat="1" ht="19.5" customHeight="1">
      <c r="A6" s="292" t="s">
        <v>43</v>
      </c>
      <c r="B6" s="363">
        <f>VLOOKUP($A6,'T3_data(t)'!$A:$N,2,FALSE)</f>
        <v>52283.13</v>
      </c>
      <c r="C6" s="363">
        <f>VLOOKUP($A6,'T3_data(t)'!$A:$N,3,FALSE)</f>
        <v>4239</v>
      </c>
      <c r="D6" s="363">
        <f>VLOOKUP($A6,'T3_data(t)'!$A:$N,4,FALSE)</f>
        <v>4010.18</v>
      </c>
      <c r="E6" s="363">
        <f>VLOOKUP($A6,'T3_data(t)'!$A:$N,5,FALSE)</f>
        <v>4022.67</v>
      </c>
      <c r="F6" s="364">
        <f>VLOOKUP($A6,'T3_data(t)'!$A:$N,6,FALSE)</f>
        <v>44371.61</v>
      </c>
      <c r="G6" s="365">
        <f>VLOOKUP($A6,'T3_data(t)'!$A:$N,7,FALSE)</f>
        <v>6.15</v>
      </c>
      <c r="H6" s="365">
        <f>VLOOKUP($A6,'T3_data(t)'!$A:$N,8,FALSE)</f>
        <v>-8.1199999999999992</v>
      </c>
      <c r="I6" s="365">
        <f>VLOOKUP($A6,'T3_data(t)'!$A:$N,9,FALSE)</f>
        <v>-5.0999999999999996</v>
      </c>
      <c r="J6" s="365">
        <f>VLOOKUP($A6,'T3_data(t)'!$A:$N,10,FALSE)</f>
        <v>0.03</v>
      </c>
      <c r="K6" s="365">
        <f>VLOOKUP($A6,'T3_data(t)'!$A:$N,11,FALSE)</f>
        <v>17.38</v>
      </c>
      <c r="L6" s="365">
        <f>VLOOKUP($A6,'T3_data(t)'!$A:$N,12,FALSE)</f>
        <v>12.95</v>
      </c>
      <c r="M6" s="365">
        <f>VLOOKUP($A6,'T3_data(t)'!$A:$N,13,FALSE)</f>
        <v>13.95</v>
      </c>
      <c r="N6" s="365">
        <f>VLOOKUP($A6,'T3_data(t)'!$A:$N,14,FALSE)</f>
        <v>15.68</v>
      </c>
      <c r="P6" s="366" t="str">
        <f t="shared" ref="P6:P69" si="13">IF(FIXED(G6,1)="0.0",IF(FIXED(G6,2)="0.00",FIXED(G6,3),FIXED(G6,2)),FIXED(G6,1))</f>
        <v>6.2</v>
      </c>
      <c r="Q6" s="366" t="str">
        <f t="shared" ref="Q6:Q69" si="14">IF(FIXED(H6,1)="0.0",IF(FIXED(H6,2)="0.00",FIXED(H6,3),FIXED(H6,2)),FIXED(H6,1))</f>
        <v>-8.1</v>
      </c>
      <c r="R6" s="366" t="str">
        <f t="shared" ref="R6:R69" si="15">IF(FIXED(I6,1)="0.0",IF(FIXED(I6,2)="0.00",FIXED(I6,3),FIXED(I6,2)),FIXED(I6,1))</f>
        <v>-5.1</v>
      </c>
      <c r="S6" s="366" t="str">
        <f t="shared" ref="S6:S69" si="16">IF(FIXED(J6,1)="0.0",IF(FIXED(J6,2)="0.00",FIXED(J6,3),FIXED(J6,2)),FIXED(J6,1))</f>
        <v>0.03</v>
      </c>
      <c r="T6" s="366" t="str">
        <f t="shared" si="9"/>
        <v>17.4</v>
      </c>
      <c r="U6" s="366" t="str">
        <f t="shared" si="10"/>
        <v>13.0</v>
      </c>
      <c r="V6" s="366" t="str">
        <f t="shared" si="11"/>
        <v>14.0</v>
      </c>
      <c r="W6" s="366" t="str">
        <f t="shared" si="12"/>
        <v>15.7</v>
      </c>
    </row>
    <row r="7" spans="1:28" ht="19.5" customHeight="1">
      <c r="A7" s="293" t="s">
        <v>44</v>
      </c>
      <c r="B7" s="367">
        <f>VLOOKUP($A7,'T3_data(t)'!$A:$N,2,FALSE)</f>
        <v>28862.53</v>
      </c>
      <c r="C7" s="367">
        <f>VLOOKUP($A7,'T3_data(t)'!$A:$N,3,FALSE)</f>
        <v>2299.4899999999998</v>
      </c>
      <c r="D7" s="367">
        <f>VLOOKUP($A7,'T3_data(t)'!$A:$N,4,FALSE)</f>
        <v>1955.53</v>
      </c>
      <c r="E7" s="367">
        <f>VLOOKUP($A7,'T3_data(t)'!$A:$N,5,FALSE)</f>
        <v>1963.56</v>
      </c>
      <c r="F7" s="368">
        <f>VLOOKUP($A7,'T3_data(t)'!$A:$N,6,FALSE)</f>
        <v>23730.36</v>
      </c>
      <c r="G7" s="369">
        <f>VLOOKUP($A7,'T3_data(t)'!$A:$N,7,FALSE)</f>
        <v>7.64</v>
      </c>
      <c r="H7" s="369">
        <f>VLOOKUP($A7,'T3_data(t)'!$A:$N,8,FALSE)</f>
        <v>-18.190000000000001</v>
      </c>
      <c r="I7" s="369">
        <f>VLOOKUP($A7,'T3_data(t)'!$A:$N,9,FALSE)</f>
        <v>-14.61</v>
      </c>
      <c r="J7" s="369">
        <f>VLOOKUP($A7,'T3_data(t)'!$A:$N,10,FALSE)</f>
        <v>-3.43</v>
      </c>
      <c r="K7" s="369">
        <f>VLOOKUP($A7,'T3_data(t)'!$A:$N,11,FALSE)</f>
        <v>9.6</v>
      </c>
      <c r="L7" s="369">
        <f>VLOOKUP($A7,'T3_data(t)'!$A:$N,12,FALSE)</f>
        <v>6.31</v>
      </c>
      <c r="M7" s="369">
        <f>VLOOKUP($A7,'T3_data(t)'!$A:$N,13,FALSE)</f>
        <v>6.81</v>
      </c>
      <c r="N7" s="369">
        <f>VLOOKUP($A7,'T3_data(t)'!$A:$N,14,FALSE)</f>
        <v>8.39</v>
      </c>
      <c r="P7" s="366" t="str">
        <f t="shared" si="13"/>
        <v>7.6</v>
      </c>
      <c r="Q7" s="366" t="str">
        <f t="shared" si="14"/>
        <v>-18.2</v>
      </c>
      <c r="R7" s="366" t="str">
        <f t="shared" si="15"/>
        <v>-14.6</v>
      </c>
      <c r="S7" s="366" t="str">
        <f t="shared" si="16"/>
        <v>-3.4</v>
      </c>
      <c r="T7" s="366" t="str">
        <f t="shared" si="9"/>
        <v>9.6</v>
      </c>
      <c r="U7" s="366" t="str">
        <f t="shared" si="10"/>
        <v>6.3</v>
      </c>
      <c r="V7" s="366" t="str">
        <f t="shared" si="11"/>
        <v>6.8</v>
      </c>
      <c r="W7" s="366" t="str">
        <f t="shared" si="12"/>
        <v>8.4</v>
      </c>
    </row>
    <row r="8" spans="1:28" ht="19.5" customHeight="1">
      <c r="A8" s="293" t="s">
        <v>45</v>
      </c>
      <c r="B8" s="367">
        <f>VLOOKUP($A8,'T3_data(t)'!$A:$N,2,FALSE)</f>
        <v>23420.61</v>
      </c>
      <c r="C8" s="367">
        <f>VLOOKUP($A8,'T3_data(t)'!$A:$N,3,FALSE)</f>
        <v>1939.5</v>
      </c>
      <c r="D8" s="367">
        <f>VLOOKUP($A8,'T3_data(t)'!$A:$N,4,FALSE)</f>
        <v>2054.65</v>
      </c>
      <c r="E8" s="367">
        <f>VLOOKUP($A8,'T3_data(t)'!$A:$N,5,FALSE)</f>
        <v>2059.1</v>
      </c>
      <c r="F8" s="368">
        <f>VLOOKUP($A8,'T3_data(t)'!$A:$N,6,FALSE)</f>
        <v>20641.240000000002</v>
      </c>
      <c r="G8" s="369">
        <f>VLOOKUP($A8,'T3_data(t)'!$A:$N,7,FALSE)</f>
        <v>4.37</v>
      </c>
      <c r="H8" s="369">
        <f>VLOOKUP($A8,'T3_data(t)'!$A:$N,8,FALSE)</f>
        <v>4.09</v>
      </c>
      <c r="I8" s="369">
        <f>VLOOKUP($A8,'T3_data(t)'!$A:$N,9,FALSE)</f>
        <v>6.17</v>
      </c>
      <c r="J8" s="369">
        <f>VLOOKUP($A8,'T3_data(t)'!$A:$N,10,FALSE)</f>
        <v>4.33</v>
      </c>
      <c r="K8" s="369">
        <f>VLOOKUP($A8,'T3_data(t)'!$A:$N,11,FALSE)</f>
        <v>7.79</v>
      </c>
      <c r="L8" s="369">
        <f>VLOOKUP($A8,'T3_data(t)'!$A:$N,12,FALSE)</f>
        <v>6.63</v>
      </c>
      <c r="M8" s="369">
        <f>VLOOKUP($A8,'T3_data(t)'!$A:$N,13,FALSE)</f>
        <v>7.14</v>
      </c>
      <c r="N8" s="369">
        <f>VLOOKUP($A8,'T3_data(t)'!$A:$N,14,FALSE)</f>
        <v>7.29</v>
      </c>
      <c r="P8" s="366" t="str">
        <f t="shared" si="13"/>
        <v>4.4</v>
      </c>
      <c r="Q8" s="366" t="str">
        <f t="shared" si="14"/>
        <v>4.1</v>
      </c>
      <c r="R8" s="366" t="str">
        <f t="shared" si="15"/>
        <v>6.2</v>
      </c>
      <c r="S8" s="366" t="str">
        <f t="shared" si="16"/>
        <v>4.3</v>
      </c>
      <c r="T8" s="366" t="str">
        <f t="shared" si="9"/>
        <v>7.8</v>
      </c>
      <c r="U8" s="366" t="str">
        <f t="shared" si="10"/>
        <v>6.6</v>
      </c>
      <c r="V8" s="366" t="str">
        <f t="shared" si="11"/>
        <v>7.1</v>
      </c>
      <c r="W8" s="366" t="str">
        <f t="shared" si="12"/>
        <v>7.3</v>
      </c>
    </row>
    <row r="9" spans="1:28" ht="19.5" customHeight="1">
      <c r="A9" s="293" t="s">
        <v>46</v>
      </c>
      <c r="B9" s="367">
        <f>VLOOKUP($A9,'T3_data(t)'!$A:$N,2,FALSE)</f>
        <v>6455.39</v>
      </c>
      <c r="C9" s="367">
        <f>VLOOKUP($A9,'T3_data(t)'!$A:$N,3,FALSE)</f>
        <v>577.08000000000004</v>
      </c>
      <c r="D9" s="367">
        <f>VLOOKUP($A9,'T3_data(t)'!$A:$N,4,FALSE)</f>
        <v>398.56</v>
      </c>
      <c r="E9" s="367">
        <f>VLOOKUP($A9,'T3_data(t)'!$A:$N,5,FALSE)</f>
        <v>354.25</v>
      </c>
      <c r="F9" s="368">
        <f>VLOOKUP($A9,'T3_data(t)'!$A:$N,6,FALSE)</f>
        <v>3740.22</v>
      </c>
      <c r="G9" s="369">
        <f>VLOOKUP($A9,'T3_data(t)'!$A:$N,7,FALSE)</f>
        <v>25.41</v>
      </c>
      <c r="H9" s="369">
        <f>VLOOKUP($A9,'T3_data(t)'!$A:$N,8,FALSE)</f>
        <v>-31.39</v>
      </c>
      <c r="I9" s="369">
        <f>VLOOKUP($A9,'T3_data(t)'!$A:$N,9,FALSE)</f>
        <v>-38.61</v>
      </c>
      <c r="J9" s="369">
        <f>VLOOKUP($A9,'T3_data(t)'!$A:$N,10,FALSE)</f>
        <v>-31.51</v>
      </c>
      <c r="K9" s="369">
        <f>VLOOKUP($A9,'T3_data(t)'!$A:$N,11,FALSE)</f>
        <v>2.15</v>
      </c>
      <c r="L9" s="369">
        <f>VLOOKUP($A9,'T3_data(t)'!$A:$N,12,FALSE)</f>
        <v>1.29</v>
      </c>
      <c r="M9" s="369">
        <f>VLOOKUP($A9,'T3_data(t)'!$A:$N,13,FALSE)</f>
        <v>1.23</v>
      </c>
      <c r="N9" s="369">
        <f>VLOOKUP($A9,'T3_data(t)'!$A:$N,14,FALSE)</f>
        <v>1.32</v>
      </c>
      <c r="P9" s="366" t="str">
        <f t="shared" si="13"/>
        <v>25.4</v>
      </c>
      <c r="Q9" s="366" t="str">
        <f t="shared" si="14"/>
        <v>-31.4</v>
      </c>
      <c r="R9" s="366" t="str">
        <f t="shared" si="15"/>
        <v>-38.6</v>
      </c>
      <c r="S9" s="366" t="str">
        <f t="shared" si="16"/>
        <v>-31.5</v>
      </c>
      <c r="T9" s="366" t="str">
        <f t="shared" si="9"/>
        <v>2.2</v>
      </c>
      <c r="U9" s="366" t="str">
        <f t="shared" si="10"/>
        <v>1.3</v>
      </c>
      <c r="V9" s="366" t="str">
        <f t="shared" si="11"/>
        <v>1.2</v>
      </c>
      <c r="W9" s="366" t="str">
        <f t="shared" si="12"/>
        <v>1.3</v>
      </c>
      <c r="X9" s="370">
        <f>'T3_data(t-1)'!B8</f>
        <v>5147.34</v>
      </c>
      <c r="Y9" s="370">
        <f>'T3_data(t-1)'!C8</f>
        <v>524.05999999999995</v>
      </c>
      <c r="Z9" s="370">
        <f>'T3_data(t-1)'!D8</f>
        <v>580.87</v>
      </c>
      <c r="AA9" s="370">
        <f>'T3_data(t-1)'!E8</f>
        <v>577.08000000000004</v>
      </c>
      <c r="AB9" s="370">
        <f>'T3_data(t-1)'!F8</f>
        <v>5460.91</v>
      </c>
    </row>
    <row r="10" spans="1:28" ht="19.5" customHeight="1">
      <c r="A10" s="293" t="s">
        <v>47</v>
      </c>
      <c r="B10" s="367">
        <f>'T3_data(t)'!B9</f>
        <v>9987265.2400000002</v>
      </c>
      <c r="C10" s="367">
        <f>'T3_data(t)'!C9</f>
        <v>901344.57</v>
      </c>
      <c r="D10" s="367">
        <f>'T3_data(t)'!D9</f>
        <v>762582.45</v>
      </c>
      <c r="E10" s="367">
        <f>'T3_data(t)'!E9</f>
        <v>625413.74</v>
      </c>
      <c r="F10" s="371">
        <f>'T3_data(t)'!F9</f>
        <v>6424445.8799999999</v>
      </c>
      <c r="G10" s="369">
        <f>'T3_data(t)'!G9</f>
        <v>13.89</v>
      </c>
      <c r="H10" s="369">
        <f>'T3_data(t)'!H9</f>
        <v>-15.62</v>
      </c>
      <c r="I10" s="369">
        <f>'T3_data(t)'!I9</f>
        <v>-30.61</v>
      </c>
      <c r="J10" s="369">
        <f>'T3_data(t)'!J9</f>
        <v>-23.87</v>
      </c>
      <c r="K10" s="369"/>
      <c r="L10" s="369"/>
      <c r="M10" s="369"/>
      <c r="N10" s="369"/>
      <c r="P10" s="366" t="str">
        <f t="shared" si="13"/>
        <v>13.9</v>
      </c>
      <c r="Q10" s="366" t="str">
        <f t="shared" si="14"/>
        <v>-15.6</v>
      </c>
      <c r="R10" s="366" t="str">
        <f t="shared" si="15"/>
        <v>-30.6</v>
      </c>
      <c r="S10" s="366" t="str">
        <f t="shared" si="16"/>
        <v>-23.9</v>
      </c>
      <c r="T10" s="366"/>
      <c r="U10" s="366"/>
      <c r="V10" s="366"/>
      <c r="W10" s="366"/>
      <c r="X10" s="370">
        <f>'T3_data(t-1)'!B9</f>
        <v>8769043.8300000001</v>
      </c>
      <c r="Y10" s="370">
        <f>'T3_data(t-1)'!C9</f>
        <v>840513.12</v>
      </c>
      <c r="Z10" s="370">
        <f>'T3_data(t-1)'!D9</f>
        <v>903698.11</v>
      </c>
      <c r="AA10" s="370">
        <f>'T3_data(t-1)'!E9</f>
        <v>901344.57</v>
      </c>
      <c r="AB10" s="370">
        <f>'T3_data(t-1)'!F9</f>
        <v>8438916.6899999995</v>
      </c>
    </row>
    <row r="11" spans="1:28" ht="19.5" customHeight="1">
      <c r="A11" s="293" t="s">
        <v>234</v>
      </c>
      <c r="B11" s="367">
        <f>B9*1000000/B10</f>
        <v>646.36212665560481</v>
      </c>
      <c r="C11" s="367">
        <f t="shared" ref="C11:F11" si="17">C9*1000000/C10</f>
        <v>640.24349755610115</v>
      </c>
      <c r="D11" s="367">
        <f t="shared" si="17"/>
        <v>522.64512512712565</v>
      </c>
      <c r="E11" s="367">
        <f t="shared" si="17"/>
        <v>566.42503568917436</v>
      </c>
      <c r="F11" s="371">
        <f t="shared" si="17"/>
        <v>582.18561878522667</v>
      </c>
      <c r="G11" s="369">
        <f>((B11/X11)-1)*100</f>
        <v>10.114696497511533</v>
      </c>
      <c r="H11" s="369">
        <f>((D11/Z11)-1)*100</f>
        <v>-18.68862021139034</v>
      </c>
      <c r="I11" s="369">
        <f>((E11/AA11)-1)*100</f>
        <v>-11.529748001924601</v>
      </c>
      <c r="J11" s="369">
        <f>((F11/AB11)-1)*100</f>
        <v>-10.033017664736699</v>
      </c>
      <c r="K11" s="369"/>
      <c r="L11" s="369"/>
      <c r="M11" s="369"/>
      <c r="N11" s="369"/>
      <c r="P11" s="366" t="str">
        <f t="shared" si="13"/>
        <v>10.1</v>
      </c>
      <c r="Q11" s="366" t="str">
        <f t="shared" si="14"/>
        <v>-18.7</v>
      </c>
      <c r="R11" s="366" t="str">
        <f t="shared" si="15"/>
        <v>-11.5</v>
      </c>
      <c r="S11" s="366" t="str">
        <f t="shared" si="16"/>
        <v>-10.0</v>
      </c>
      <c r="T11" s="366"/>
      <c r="U11" s="366"/>
      <c r="V11" s="366"/>
      <c r="W11" s="366"/>
      <c r="X11" s="370">
        <f>X9*1000000/X10</f>
        <v>586.98988165509036</v>
      </c>
      <c r="Y11" s="370">
        <f t="shared" ref="Y11:AB11" si="18">Y9*1000000/Y10</f>
        <v>623.5000829017398</v>
      </c>
      <c r="Z11" s="370">
        <f t="shared" si="18"/>
        <v>642.76996219456521</v>
      </c>
      <c r="AA11" s="370">
        <f t="shared" si="18"/>
        <v>640.24349755610115</v>
      </c>
      <c r="AB11" s="370">
        <f t="shared" si="18"/>
        <v>647.1103105533798</v>
      </c>
    </row>
    <row r="12" spans="1:28" ht="19.5" customHeight="1">
      <c r="A12" s="293" t="s">
        <v>48</v>
      </c>
      <c r="B12" s="367">
        <f>VLOOKUP($A12,'T3_data(t)'!$A:$N,2,FALSE)</f>
        <v>4992.32</v>
      </c>
      <c r="C12" s="367">
        <f>VLOOKUP($A12,'T3_data(t)'!$A:$N,3,FALSE)</f>
        <v>456.12</v>
      </c>
      <c r="D12" s="367">
        <f>VLOOKUP($A12,'T3_data(t)'!$A:$N,4,FALSE)</f>
        <v>367.88</v>
      </c>
      <c r="E12" s="367">
        <f>VLOOKUP($A12,'T3_data(t)'!$A:$N,5,FALSE)</f>
        <v>398.95</v>
      </c>
      <c r="F12" s="368">
        <f>VLOOKUP($A12,'T3_data(t)'!$A:$N,6,FALSE)</f>
        <v>4203.5600000000004</v>
      </c>
      <c r="G12" s="369">
        <f>VLOOKUP($A12,'T3_data(t)'!$A:$N,7,FALSE)</f>
        <v>36.83</v>
      </c>
      <c r="H12" s="369">
        <f>VLOOKUP($A12,'T3_data(t)'!$A:$N,8,FALSE)</f>
        <v>-15.43</v>
      </c>
      <c r="I12" s="369">
        <f>VLOOKUP($A12,'T3_data(t)'!$A:$N,9,FALSE)</f>
        <v>-12.53</v>
      </c>
      <c r="J12" s="369">
        <f>VLOOKUP($A12,'T3_data(t)'!$A:$N,10,FALSE)</f>
        <v>1.92</v>
      </c>
      <c r="K12" s="369">
        <f>VLOOKUP($A12,'T3_data(t)'!$A:$N,11,FALSE)</f>
        <v>1.66</v>
      </c>
      <c r="L12" s="369">
        <f>VLOOKUP($A12,'T3_data(t)'!$A:$N,12,FALSE)</f>
        <v>1.19</v>
      </c>
      <c r="M12" s="369">
        <f>VLOOKUP($A12,'T3_data(t)'!$A:$N,13,FALSE)</f>
        <v>1.38</v>
      </c>
      <c r="N12" s="369">
        <f>VLOOKUP($A12,'T3_data(t)'!$A:$N,14,FALSE)</f>
        <v>1.49</v>
      </c>
      <c r="P12" s="366" t="str">
        <f t="shared" si="13"/>
        <v>36.8</v>
      </c>
      <c r="Q12" s="366" t="str">
        <f t="shared" si="14"/>
        <v>-15.4</v>
      </c>
      <c r="R12" s="366" t="str">
        <f t="shared" si="15"/>
        <v>-12.5</v>
      </c>
      <c r="S12" s="366" t="str">
        <f t="shared" si="16"/>
        <v>1.9</v>
      </c>
      <c r="T12" s="366" t="str">
        <f t="shared" ref="T12" si="19">IF(FIXED(K12,1)="0.0",IF(FIXED(K12,2)="0.00",FIXED(K12,3),FIXED(K12,2)),FIXED(K12,1))</f>
        <v>1.7</v>
      </c>
      <c r="U12" s="366" t="str">
        <f t="shared" ref="U12" si="20">IF(FIXED(L12,1)="0.0",IF(FIXED(L12,2)="0.00",FIXED(L12,3),FIXED(L12,2)),FIXED(L12,1))</f>
        <v>1.2</v>
      </c>
      <c r="V12" s="366" t="str">
        <f t="shared" ref="V12" si="21">IF(FIXED(M12,1)="0.0",IF(FIXED(M12,2)="0.00",FIXED(M12,3),FIXED(M12,2)),FIXED(M12,1))</f>
        <v>1.4</v>
      </c>
      <c r="W12" s="366" t="str">
        <f t="shared" ref="W12" si="22">IF(FIXED(N12,1)="0.0",IF(FIXED(N12,2)="0.00",FIXED(N12,3),FIXED(N12,2)),FIXED(N12,1))</f>
        <v>1.5</v>
      </c>
      <c r="X12" s="370">
        <f>'T3_data(t-1)'!B10</f>
        <v>3648.56</v>
      </c>
      <c r="Y12" s="370">
        <f>'T3_data(t-1)'!C10</f>
        <v>344.06</v>
      </c>
      <c r="Z12" s="370">
        <f>'T3_data(t-1)'!D10</f>
        <v>435.02</v>
      </c>
      <c r="AA12" s="370">
        <f>'T3_data(t-1)'!E10</f>
        <v>456.12</v>
      </c>
      <c r="AB12" s="370">
        <f>'T3_data(t-1)'!F10</f>
        <v>4124.4799999999996</v>
      </c>
    </row>
    <row r="13" spans="1:28" ht="19.5" customHeight="1">
      <c r="A13" s="293" t="s">
        <v>47</v>
      </c>
      <c r="B13" s="367">
        <f>'T3_data(t)'!B11</f>
        <v>2816944.14</v>
      </c>
      <c r="C13" s="367">
        <f>'T3_data(t)'!C11</f>
        <v>224754.15</v>
      </c>
      <c r="D13" s="367">
        <f>'T3_data(t)'!D11</f>
        <v>204095.31</v>
      </c>
      <c r="E13" s="367">
        <f>'T3_data(t)'!E11</f>
        <v>220084.01</v>
      </c>
      <c r="F13" s="371">
        <f>'T3_data(t)'!F11</f>
        <v>2214071.52</v>
      </c>
      <c r="G13" s="369">
        <f>'T3_data(t)'!G11</f>
        <v>3.43</v>
      </c>
      <c r="H13" s="369">
        <f>'T3_data(t)'!H11</f>
        <v>-10.5</v>
      </c>
      <c r="I13" s="369">
        <f>'T3_data(t)'!I11</f>
        <v>-2.08</v>
      </c>
      <c r="J13" s="369">
        <f>'T3_data(t)'!J11</f>
        <v>-7.47</v>
      </c>
      <c r="K13" s="369"/>
      <c r="L13" s="369"/>
      <c r="M13" s="369"/>
      <c r="N13" s="369"/>
      <c r="P13" s="366" t="str">
        <f t="shared" si="13"/>
        <v>3.4</v>
      </c>
      <c r="Q13" s="366" t="str">
        <f t="shared" si="14"/>
        <v>-10.5</v>
      </c>
      <c r="R13" s="366" t="str">
        <f t="shared" si="15"/>
        <v>-2.1</v>
      </c>
      <c r="S13" s="366" t="str">
        <f t="shared" si="16"/>
        <v>-7.5</v>
      </c>
      <c r="T13" s="366"/>
      <c r="U13" s="366"/>
      <c r="V13" s="366"/>
      <c r="W13" s="366"/>
      <c r="X13" s="370">
        <f>'T3_data(t-1)'!B11</f>
        <v>2723653.92</v>
      </c>
      <c r="Y13" s="370">
        <f>'T3_data(t-1)'!C11</f>
        <v>261605.67</v>
      </c>
      <c r="Z13" s="370">
        <f>'T3_data(t-1)'!D11</f>
        <v>228034.2</v>
      </c>
      <c r="AA13" s="370">
        <f>'T3_data(t-1)'!E11</f>
        <v>224754.15</v>
      </c>
      <c r="AB13" s="370">
        <f>'T3_data(t-1)'!F11</f>
        <v>2392713.73</v>
      </c>
    </row>
    <row r="14" spans="1:28" ht="19.5" customHeight="1">
      <c r="A14" s="293" t="s">
        <v>234</v>
      </c>
      <c r="B14" s="367">
        <f>B12*1000000/B13</f>
        <v>1772.246715548999</v>
      </c>
      <c r="C14" s="367">
        <f t="shared" ref="C14:F14" si="23">C12*1000000/C13</f>
        <v>2029.4174768296825</v>
      </c>
      <c r="D14" s="367">
        <f t="shared" si="23"/>
        <v>1802.4911988423448</v>
      </c>
      <c r="E14" s="367">
        <f t="shared" si="23"/>
        <v>1812.7168802495009</v>
      </c>
      <c r="F14" s="371">
        <f t="shared" si="23"/>
        <v>1898.5655892452835</v>
      </c>
      <c r="G14" s="369">
        <f>((B14/X14)-1)*100</f>
        <v>32.298405782340332</v>
      </c>
      <c r="H14" s="369">
        <f>((D14/Z14)-1)*100</f>
        <v>-5.5147720713863642</v>
      </c>
      <c r="I14" s="369">
        <f t="shared" ref="I14" si="24">((E14/AA14)-1)*100</f>
        <v>-10.677970356237754</v>
      </c>
      <c r="J14" s="369">
        <f t="shared" ref="J14" si="25">((F14/AB14)-1)*100</f>
        <v>10.140525658815914</v>
      </c>
      <c r="K14" s="369"/>
      <c r="L14" s="369"/>
      <c r="M14" s="369"/>
      <c r="N14" s="369"/>
      <c r="P14" s="366" t="str">
        <f t="shared" si="13"/>
        <v>32.3</v>
      </c>
      <c r="Q14" s="366" t="str">
        <f t="shared" si="14"/>
        <v>-5.5</v>
      </c>
      <c r="R14" s="366" t="str">
        <f t="shared" si="15"/>
        <v>-10.7</v>
      </c>
      <c r="S14" s="366" t="str">
        <f t="shared" si="16"/>
        <v>10.1</v>
      </c>
      <c r="T14" s="366"/>
      <c r="U14" s="366"/>
      <c r="V14" s="366"/>
      <c r="W14" s="366"/>
      <c r="X14" s="370">
        <f>X12*1000000/X13</f>
        <v>1339.5828204194165</v>
      </c>
      <c r="Y14" s="370">
        <f t="shared" ref="Y14:AB14" si="26">Y12*1000000/Y13</f>
        <v>1315.1855615361853</v>
      </c>
      <c r="Z14" s="370">
        <f t="shared" si="26"/>
        <v>1907.6963016950965</v>
      </c>
      <c r="AA14" s="370">
        <f t="shared" si="26"/>
        <v>2029.4174768296825</v>
      </c>
      <c r="AB14" s="370">
        <f t="shared" si="26"/>
        <v>1723.7665953461133</v>
      </c>
    </row>
    <row r="15" spans="1:28" ht="19.5" customHeight="1">
      <c r="A15" s="293" t="s">
        <v>49</v>
      </c>
      <c r="B15" s="367">
        <f>VLOOKUP($A15,'T3_data(t)'!$A:$N,2,FALSE)</f>
        <v>3146.76</v>
      </c>
      <c r="C15" s="367">
        <f>VLOOKUP($A15,'T3_data(t)'!$A:$N,3,FALSE)</f>
        <v>230.14</v>
      </c>
      <c r="D15" s="367">
        <f>VLOOKUP($A15,'T3_data(t)'!$A:$N,4,FALSE)</f>
        <v>207.39</v>
      </c>
      <c r="E15" s="367">
        <f>VLOOKUP($A15,'T3_data(t)'!$A:$N,5,FALSE)</f>
        <v>186.06</v>
      </c>
      <c r="F15" s="368">
        <f>VLOOKUP($A15,'T3_data(t)'!$A:$N,6,FALSE)</f>
        <v>2500.9299999999998</v>
      </c>
      <c r="G15" s="369">
        <f>VLOOKUP($A15,'T3_data(t)'!$A:$N,7,FALSE)</f>
        <v>-15.27</v>
      </c>
      <c r="H15" s="369">
        <f>VLOOKUP($A15,'T3_data(t)'!$A:$N,8,FALSE)</f>
        <v>-9.82</v>
      </c>
      <c r="I15" s="369">
        <f>VLOOKUP($A15,'T3_data(t)'!$A:$N,9,FALSE)</f>
        <v>-19.149999999999999</v>
      </c>
      <c r="J15" s="369">
        <f>VLOOKUP($A15,'T3_data(t)'!$A:$N,10,FALSE)</f>
        <v>-7.44</v>
      </c>
      <c r="K15" s="369">
        <f>VLOOKUP($A15,'T3_data(t)'!$A:$N,11,FALSE)</f>
        <v>1.05</v>
      </c>
      <c r="L15" s="369">
        <f>VLOOKUP($A15,'T3_data(t)'!$A:$N,12,FALSE)</f>
        <v>0.67</v>
      </c>
      <c r="M15" s="369">
        <f>VLOOKUP($A15,'T3_data(t)'!$A:$N,13,FALSE)</f>
        <v>0.65</v>
      </c>
      <c r="N15" s="369">
        <f>VLOOKUP($A15,'T3_data(t)'!$A:$N,14,FALSE)</f>
        <v>0.88</v>
      </c>
      <c r="P15" s="366" t="str">
        <f t="shared" si="13"/>
        <v>-15.3</v>
      </c>
      <c r="Q15" s="366" t="str">
        <f t="shared" si="14"/>
        <v>-9.8</v>
      </c>
      <c r="R15" s="366" t="str">
        <f t="shared" si="15"/>
        <v>-19.2</v>
      </c>
      <c r="S15" s="366" t="str">
        <f t="shared" si="16"/>
        <v>-7.4</v>
      </c>
      <c r="T15" s="366" t="str">
        <f t="shared" ref="T15" si="27">IF(FIXED(K15,1)="0.0",IF(FIXED(K15,2)="0.00",FIXED(K15,3),FIXED(K15,2)),FIXED(K15,1))</f>
        <v>1.1</v>
      </c>
      <c r="U15" s="366" t="str">
        <f t="shared" ref="U15" si="28">IF(FIXED(L15,1)="0.0",IF(FIXED(L15,2)="0.00",FIXED(L15,3),FIXED(L15,2)),FIXED(L15,1))</f>
        <v>0.7</v>
      </c>
      <c r="V15" s="366" t="str">
        <f t="shared" ref="V15" si="29">IF(FIXED(M15,1)="0.0",IF(FIXED(M15,2)="0.00",FIXED(M15,3),FIXED(M15,2)),FIXED(M15,1))</f>
        <v>0.7</v>
      </c>
      <c r="W15" s="366" t="str">
        <f t="shared" ref="W15" si="30">IF(FIXED(N15,1)="0.0",IF(FIXED(N15,2)="0.00",FIXED(N15,3),FIXED(N15,2)),FIXED(N15,1))</f>
        <v>0.9</v>
      </c>
      <c r="X15" s="370">
        <f>'T3_data(t-1)'!B24</f>
        <v>3713.69</v>
      </c>
      <c r="Y15" s="370">
        <f>'T3_data(t-1)'!C24</f>
        <v>331.37</v>
      </c>
      <c r="Z15" s="370">
        <f>'T3_data(t-1)'!D24</f>
        <v>229.98</v>
      </c>
      <c r="AA15" s="370">
        <f>'T3_data(t-1)'!E24</f>
        <v>230.14</v>
      </c>
      <c r="AB15" s="370">
        <f>'T3_data(t-1)'!F24</f>
        <v>2701.85</v>
      </c>
    </row>
    <row r="16" spans="1:28" ht="19.5" customHeight="1">
      <c r="A16" s="293" t="s">
        <v>47</v>
      </c>
      <c r="B16" s="367">
        <f>'T3_data(t)'!B25</f>
        <v>6524348.5999999996</v>
      </c>
      <c r="C16" s="367">
        <f>'T3_data(t)'!C25</f>
        <v>468508.99</v>
      </c>
      <c r="D16" s="367">
        <f>'T3_data(t)'!D25</f>
        <v>536211.31999999995</v>
      </c>
      <c r="E16" s="367">
        <f>'T3_data(t)'!E25</f>
        <v>395338.76</v>
      </c>
      <c r="F16" s="371">
        <f>'T3_data(t)'!F25</f>
        <v>7306020.4800000004</v>
      </c>
      <c r="G16" s="369">
        <f>'T3_data(t)'!G25</f>
        <v>-24.89</v>
      </c>
      <c r="H16" s="369">
        <f>'T3_data(t)'!H25</f>
        <v>18.05</v>
      </c>
      <c r="I16" s="369">
        <f>'T3_data(t)'!I25</f>
        <v>-15.62</v>
      </c>
      <c r="J16" s="369">
        <f>'T3_data(t)'!J25</f>
        <v>30.82</v>
      </c>
      <c r="K16" s="369"/>
      <c r="L16" s="369"/>
      <c r="M16" s="369"/>
      <c r="N16" s="369"/>
      <c r="P16" s="366" t="str">
        <f t="shared" si="13"/>
        <v>-24.9</v>
      </c>
      <c r="Q16" s="366" t="str">
        <f t="shared" si="14"/>
        <v>18.1</v>
      </c>
      <c r="R16" s="366" t="str">
        <f t="shared" si="15"/>
        <v>-15.6</v>
      </c>
      <c r="S16" s="366" t="str">
        <f t="shared" si="16"/>
        <v>30.8</v>
      </c>
      <c r="T16" s="366"/>
      <c r="U16" s="366"/>
      <c r="V16" s="366"/>
      <c r="W16" s="366"/>
      <c r="X16" s="370">
        <f>'T3_data(t-1)'!B25</f>
        <v>8686749.2699999996</v>
      </c>
      <c r="Y16" s="370">
        <f>'T3_data(t-1)'!C25</f>
        <v>644070.46</v>
      </c>
      <c r="Z16" s="370">
        <f>'T3_data(t-1)'!D25</f>
        <v>454234.87</v>
      </c>
      <c r="AA16" s="370">
        <f>'T3_data(t-1)'!E25</f>
        <v>468508.99</v>
      </c>
      <c r="AB16" s="370">
        <f>'T3_data(t-1)'!F25</f>
        <v>5584817.8700000001</v>
      </c>
    </row>
    <row r="17" spans="1:28" ht="19.5" customHeight="1">
      <c r="A17" s="293" t="s">
        <v>234</v>
      </c>
      <c r="B17" s="367">
        <f>B15*1000000/B16</f>
        <v>482.31021867838274</v>
      </c>
      <c r="C17" s="367">
        <f t="shared" ref="C17:F17" si="31">C15*1000000/C16</f>
        <v>491.21789530655536</v>
      </c>
      <c r="D17" s="367">
        <f t="shared" si="31"/>
        <v>386.76915660788364</v>
      </c>
      <c r="E17" s="367">
        <f t="shared" si="31"/>
        <v>470.63434913389216</v>
      </c>
      <c r="F17" s="371">
        <f t="shared" si="31"/>
        <v>342.31083896441527</v>
      </c>
      <c r="G17" s="369">
        <f>((B17/X17)-1)*100</f>
        <v>12.817923413585453</v>
      </c>
      <c r="H17" s="369">
        <f>((D17/Z17)-1)*100</f>
        <v>-23.608993142102928</v>
      </c>
      <c r="I17" s="369">
        <f t="shared" ref="I17" si="32">((E17/AA17)-1)*100</f>
        <v>-4.1903086938267169</v>
      </c>
      <c r="J17" s="369">
        <f t="shared" ref="J17" si="33">((F17/AB17)-1)*100</f>
        <v>-29.243159666777995</v>
      </c>
      <c r="K17" s="369"/>
      <c r="L17" s="369"/>
      <c r="M17" s="369"/>
      <c r="N17" s="369"/>
      <c r="P17" s="366" t="str">
        <f t="shared" si="13"/>
        <v>12.8</v>
      </c>
      <c r="Q17" s="366" t="str">
        <f t="shared" si="14"/>
        <v>-23.6</v>
      </c>
      <c r="R17" s="366" t="str">
        <f t="shared" si="15"/>
        <v>-4.2</v>
      </c>
      <c r="S17" s="366" t="str">
        <f t="shared" si="16"/>
        <v>-29.2</v>
      </c>
      <c r="T17" s="366"/>
      <c r="U17" s="366"/>
      <c r="V17" s="366"/>
      <c r="W17" s="366"/>
      <c r="X17" s="370">
        <f>X15*1000000/X16</f>
        <v>427.51205135220857</v>
      </c>
      <c r="Y17" s="370">
        <f t="shared" ref="Y17:AB17" si="34">Y15*1000000/Y16</f>
        <v>514.49339875019268</v>
      </c>
      <c r="Z17" s="370">
        <f t="shared" si="34"/>
        <v>506.30194903354732</v>
      </c>
      <c r="AA17" s="370">
        <f t="shared" si="34"/>
        <v>491.21789530655536</v>
      </c>
      <c r="AB17" s="370">
        <f t="shared" si="34"/>
        <v>483.78480066709858</v>
      </c>
    </row>
    <row r="18" spans="1:28" ht="19.5" customHeight="1">
      <c r="A18" s="293" t="s">
        <v>50</v>
      </c>
      <c r="B18" s="367">
        <f>VLOOKUP($A18,'T3_data(t)'!$A:$N,2,FALSE)</f>
        <v>28695.26</v>
      </c>
      <c r="C18" s="367">
        <f>VLOOKUP($A18,'T3_data(t)'!$A:$N,3,FALSE)</f>
        <v>2281.3200000000002</v>
      </c>
      <c r="D18" s="367">
        <f>VLOOKUP($A18,'T3_data(t)'!$A:$N,4,FALSE)</f>
        <v>2318.92</v>
      </c>
      <c r="E18" s="367">
        <f>VLOOKUP($A18,'T3_data(t)'!$A:$N,5,FALSE)</f>
        <v>2413.36</v>
      </c>
      <c r="F18" s="368">
        <f>VLOOKUP($A18,'T3_data(t)'!$A:$N,6,FALSE)</f>
        <v>26341.55</v>
      </c>
      <c r="G18" s="369">
        <f>VLOOKUP($A18,'T3_data(t)'!$A:$N,7,FALSE)</f>
        <v>4</v>
      </c>
      <c r="H18" s="369">
        <f>VLOOKUP($A18,'T3_data(t)'!$A:$N,8,FALSE)</f>
        <v>-4.17</v>
      </c>
      <c r="I18" s="369">
        <f>VLOOKUP($A18,'T3_data(t)'!$A:$N,9,FALSE)</f>
        <v>5.79</v>
      </c>
      <c r="J18" s="369">
        <f>VLOOKUP($A18,'T3_data(t)'!$A:$N,10,FALSE)</f>
        <v>8.26</v>
      </c>
      <c r="K18" s="369">
        <f>VLOOKUP($A18,'T3_data(t)'!$A:$N,11,FALSE)</f>
        <v>9.5399999999999991</v>
      </c>
      <c r="L18" s="369">
        <f>VLOOKUP($A18,'T3_data(t)'!$A:$N,12,FALSE)</f>
        <v>7.49</v>
      </c>
      <c r="M18" s="369">
        <f>VLOOKUP($A18,'T3_data(t)'!$A:$N,13,FALSE)</f>
        <v>8.3699999999999992</v>
      </c>
      <c r="N18" s="369">
        <f>VLOOKUP($A18,'T3_data(t)'!$A:$N,14,FALSE)</f>
        <v>9.31</v>
      </c>
      <c r="P18" s="366" t="str">
        <f t="shared" si="13"/>
        <v>4.0</v>
      </c>
      <c r="Q18" s="366" t="str">
        <f t="shared" si="14"/>
        <v>-4.2</v>
      </c>
      <c r="R18" s="366" t="str">
        <f t="shared" si="15"/>
        <v>5.8</v>
      </c>
      <c r="S18" s="366" t="str">
        <f t="shared" si="16"/>
        <v>8.3</v>
      </c>
      <c r="T18" s="366" t="str">
        <f t="shared" ref="T18:T23" si="35">IF(FIXED(K18,1)="0.0",IF(FIXED(K18,2)="0.00",FIXED(K18,3),FIXED(K18,2)),FIXED(K18,1))</f>
        <v>9.5</v>
      </c>
      <c r="U18" s="366" t="str">
        <f t="shared" ref="U18:U23" si="36">IF(FIXED(L18,1)="0.0",IF(FIXED(L18,2)="0.00",FIXED(L18,3),FIXED(L18,2)),FIXED(L18,1))</f>
        <v>7.5</v>
      </c>
      <c r="V18" s="366" t="str">
        <f t="shared" ref="V18:V23" si="37">IF(FIXED(M18,1)="0.0",IF(FIXED(M18,2)="0.00",FIXED(M18,3),FIXED(M18,2)),FIXED(M18,1))</f>
        <v>8.4</v>
      </c>
      <c r="W18" s="366" t="str">
        <f t="shared" ref="W18:W23" si="38">IF(FIXED(N18,1)="0.0",IF(FIXED(N18,2)="0.00",FIXED(N18,3),FIXED(N18,2)),FIXED(N18,1))</f>
        <v>9.3</v>
      </c>
      <c r="X18" s="370"/>
      <c r="Y18" s="370"/>
      <c r="Z18" s="370"/>
      <c r="AA18" s="370"/>
      <c r="AB18" s="370"/>
    </row>
    <row r="19" spans="1:28" ht="19.5" customHeight="1">
      <c r="A19" s="293" t="s">
        <v>51</v>
      </c>
      <c r="B19" s="367">
        <f>VLOOKUP($A19,'T3_data(t)'!$A:$N,2,FALSE)</f>
        <v>5390.37</v>
      </c>
      <c r="C19" s="367">
        <f>VLOOKUP($A19,'T3_data(t)'!$A:$N,3,FALSE)</f>
        <v>504.67</v>
      </c>
      <c r="D19" s="367">
        <f>VLOOKUP($A19,'T3_data(t)'!$A:$N,4,FALSE)</f>
        <v>486.96</v>
      </c>
      <c r="E19" s="367">
        <f>VLOOKUP($A19,'T3_data(t)'!$A:$N,5,FALSE)</f>
        <v>506.75</v>
      </c>
      <c r="F19" s="368">
        <f>VLOOKUP($A19,'T3_data(t)'!$A:$N,6,FALSE)</f>
        <v>4432.09</v>
      </c>
      <c r="G19" s="369">
        <f>VLOOKUP($A19,'T3_data(t)'!$A:$N,7,FALSE)</f>
        <v>7.75</v>
      </c>
      <c r="H19" s="369">
        <f>VLOOKUP($A19,'T3_data(t)'!$A:$N,8,FALSE)</f>
        <v>0.88</v>
      </c>
      <c r="I19" s="369">
        <f>VLOOKUP($A19,'T3_data(t)'!$A:$N,9,FALSE)</f>
        <v>0.41</v>
      </c>
      <c r="J19" s="369">
        <f>VLOOKUP($A19,'T3_data(t)'!$A:$N,10,FALSE)</f>
        <v>-0.64</v>
      </c>
      <c r="K19" s="369">
        <f>VLOOKUP($A19,'T3_data(t)'!$A:$N,11,FALSE)</f>
        <v>1.79</v>
      </c>
      <c r="L19" s="369">
        <f>VLOOKUP($A19,'T3_data(t)'!$A:$N,12,FALSE)</f>
        <v>1.57</v>
      </c>
      <c r="M19" s="369">
        <f>VLOOKUP($A19,'T3_data(t)'!$A:$N,13,FALSE)</f>
        <v>1.76</v>
      </c>
      <c r="N19" s="369">
        <f>VLOOKUP($A19,'T3_data(t)'!$A:$N,14,FALSE)</f>
        <v>1.57</v>
      </c>
      <c r="P19" s="366" t="str">
        <f t="shared" si="13"/>
        <v>7.8</v>
      </c>
      <c r="Q19" s="366" t="str">
        <f t="shared" si="14"/>
        <v>0.9</v>
      </c>
      <c r="R19" s="366" t="str">
        <f t="shared" si="15"/>
        <v>0.4</v>
      </c>
      <c r="S19" s="366" t="str">
        <f t="shared" si="16"/>
        <v>-0.6</v>
      </c>
      <c r="T19" s="366" t="str">
        <f t="shared" si="35"/>
        <v>1.8</v>
      </c>
      <c r="U19" s="366" t="str">
        <f t="shared" si="36"/>
        <v>1.6</v>
      </c>
      <c r="V19" s="366" t="str">
        <f t="shared" si="37"/>
        <v>1.8</v>
      </c>
      <c r="W19" s="366" t="str">
        <f t="shared" si="38"/>
        <v>1.6</v>
      </c>
      <c r="X19" s="370"/>
      <c r="Y19" s="370"/>
      <c r="Z19" s="370"/>
      <c r="AA19" s="370"/>
      <c r="AB19" s="370"/>
    </row>
    <row r="20" spans="1:28" ht="19.5" customHeight="1">
      <c r="A20" s="293" t="s">
        <v>52</v>
      </c>
      <c r="B20" s="367">
        <f>VLOOKUP($A20,'T3_data(t)'!$A:$N,2,FALSE)</f>
        <v>2344.44</v>
      </c>
      <c r="C20" s="367">
        <f>VLOOKUP($A20,'T3_data(t)'!$A:$N,3,FALSE)</f>
        <v>217.66</v>
      </c>
      <c r="D20" s="367">
        <f>VLOOKUP($A20,'T3_data(t)'!$A:$N,4,FALSE)</f>
        <v>213.2</v>
      </c>
      <c r="E20" s="367">
        <f>VLOOKUP($A20,'T3_data(t)'!$A:$N,5,FALSE)</f>
        <v>209.8</v>
      </c>
      <c r="F20" s="368">
        <f>VLOOKUP($A20,'T3_data(t)'!$A:$N,6,FALSE)</f>
        <v>1944.51</v>
      </c>
      <c r="G20" s="369">
        <f>VLOOKUP($A20,'T3_data(t)'!$A:$N,7,FALSE)</f>
        <v>21.84</v>
      </c>
      <c r="H20" s="369">
        <f>VLOOKUP($A20,'T3_data(t)'!$A:$N,8,FALSE)</f>
        <v>0</v>
      </c>
      <c r="I20" s="369">
        <f>VLOOKUP($A20,'T3_data(t)'!$A:$N,9,FALSE)</f>
        <v>-3.61</v>
      </c>
      <c r="J20" s="369">
        <f>VLOOKUP($A20,'T3_data(t)'!$A:$N,10,FALSE)</f>
        <v>-0.23</v>
      </c>
      <c r="K20" s="369">
        <f>VLOOKUP($A20,'T3_data(t)'!$A:$N,11,FALSE)</f>
        <v>0.78</v>
      </c>
      <c r="L20" s="369">
        <f>VLOOKUP($A20,'T3_data(t)'!$A:$N,12,FALSE)</f>
        <v>0.69</v>
      </c>
      <c r="M20" s="369">
        <f>VLOOKUP($A20,'T3_data(t)'!$A:$N,13,FALSE)</f>
        <v>0.73</v>
      </c>
      <c r="N20" s="369">
        <f>VLOOKUP($A20,'T3_data(t)'!$A:$N,14,FALSE)</f>
        <v>0.69</v>
      </c>
      <c r="P20" s="366" t="str">
        <f t="shared" si="13"/>
        <v>21.8</v>
      </c>
      <c r="Q20" s="366" t="str">
        <f t="shared" si="14"/>
        <v>0.000</v>
      </c>
      <c r="R20" s="366" t="str">
        <f t="shared" si="15"/>
        <v>-3.6</v>
      </c>
      <c r="S20" s="366" t="str">
        <f t="shared" si="16"/>
        <v>-0.2</v>
      </c>
      <c r="T20" s="366" t="str">
        <f t="shared" si="35"/>
        <v>0.8</v>
      </c>
      <c r="U20" s="366" t="str">
        <f t="shared" si="36"/>
        <v>0.7</v>
      </c>
      <c r="V20" s="366" t="str">
        <f t="shared" si="37"/>
        <v>0.7</v>
      </c>
      <c r="W20" s="366" t="str">
        <f t="shared" si="38"/>
        <v>0.7</v>
      </c>
      <c r="X20" s="370"/>
      <c r="Y20" s="370"/>
      <c r="Z20" s="370"/>
      <c r="AA20" s="370"/>
      <c r="AB20" s="370"/>
    </row>
    <row r="21" spans="1:28" ht="19.5" customHeight="1">
      <c r="A21" s="293" t="s">
        <v>53</v>
      </c>
      <c r="B21" s="367">
        <f>VLOOKUP($A21,'T3_data(t)'!$A:$N,2,FALSE)</f>
        <v>923.1</v>
      </c>
      <c r="C21" s="367">
        <f>VLOOKUP($A21,'T3_data(t)'!$A:$N,3,FALSE)</f>
        <v>93.8</v>
      </c>
      <c r="D21" s="367">
        <f>VLOOKUP($A21,'T3_data(t)'!$A:$N,4,FALSE)</f>
        <v>105.1</v>
      </c>
      <c r="E21" s="367">
        <f>VLOOKUP($A21,'T3_data(t)'!$A:$N,5,FALSE)</f>
        <v>117.22</v>
      </c>
      <c r="F21" s="368">
        <f>VLOOKUP($A21,'T3_data(t)'!$A:$N,6,FALSE)</f>
        <v>840.41</v>
      </c>
      <c r="G21" s="369">
        <f>VLOOKUP($A21,'T3_data(t)'!$A:$N,7,FALSE)</f>
        <v>-7.8</v>
      </c>
      <c r="H21" s="369">
        <f>VLOOKUP($A21,'T3_data(t)'!$A:$N,8,FALSE)</f>
        <v>15.37</v>
      </c>
      <c r="I21" s="369">
        <f>VLOOKUP($A21,'T3_data(t)'!$A:$N,9,FALSE)</f>
        <v>24.97</v>
      </c>
      <c r="J21" s="369">
        <f>VLOOKUP($A21,'T3_data(t)'!$A:$N,10,FALSE)</f>
        <v>11.14</v>
      </c>
      <c r="K21" s="369">
        <f>VLOOKUP($A21,'T3_data(t)'!$A:$N,11,FALSE)</f>
        <v>0.31</v>
      </c>
      <c r="L21" s="369">
        <f>VLOOKUP($A21,'T3_data(t)'!$A:$N,12,FALSE)</f>
        <v>0.34</v>
      </c>
      <c r="M21" s="369">
        <f>VLOOKUP($A21,'T3_data(t)'!$A:$N,13,FALSE)</f>
        <v>0.41</v>
      </c>
      <c r="N21" s="369">
        <f>VLOOKUP($A21,'T3_data(t)'!$A:$N,14,FALSE)</f>
        <v>0.3</v>
      </c>
      <c r="P21" s="366" t="str">
        <f t="shared" si="13"/>
        <v>-7.8</v>
      </c>
      <c r="Q21" s="366" t="str">
        <f t="shared" si="14"/>
        <v>15.4</v>
      </c>
      <c r="R21" s="366" t="str">
        <f t="shared" si="15"/>
        <v>25.0</v>
      </c>
      <c r="S21" s="366" t="str">
        <f t="shared" si="16"/>
        <v>11.1</v>
      </c>
      <c r="T21" s="366" t="str">
        <f t="shared" si="35"/>
        <v>0.3</v>
      </c>
      <c r="U21" s="366" t="str">
        <f t="shared" si="36"/>
        <v>0.3</v>
      </c>
      <c r="V21" s="366" t="str">
        <f t="shared" si="37"/>
        <v>0.4</v>
      </c>
      <c r="W21" s="366" t="str">
        <f t="shared" si="38"/>
        <v>0.3</v>
      </c>
      <c r="X21" s="370"/>
      <c r="Y21" s="370"/>
      <c r="Z21" s="370"/>
      <c r="AA21" s="370"/>
      <c r="AB21" s="370"/>
    </row>
    <row r="22" spans="1:28" ht="19.5" customHeight="1">
      <c r="A22" s="293" t="s">
        <v>54</v>
      </c>
      <c r="B22" s="367">
        <f>VLOOKUP($A22,'T3_data(t)'!$A:$N,2,FALSE)</f>
        <v>9465.64</v>
      </c>
      <c r="C22" s="367">
        <f>VLOOKUP($A22,'T3_data(t)'!$A:$N,3,FALSE)</f>
        <v>563.36</v>
      </c>
      <c r="D22" s="367">
        <f>VLOOKUP($A22,'T3_data(t)'!$A:$N,4,FALSE)</f>
        <v>466.71</v>
      </c>
      <c r="E22" s="367">
        <f>VLOOKUP($A22,'T3_data(t)'!$A:$N,5,FALSE)</f>
        <v>475.66</v>
      </c>
      <c r="F22" s="368">
        <f>VLOOKUP($A22,'T3_data(t)'!$A:$N,6,FALSE)</f>
        <v>8717.86</v>
      </c>
      <c r="G22" s="369">
        <f>VLOOKUP($A22,'T3_data(t)'!$A:$N,7,FALSE)</f>
        <v>-1.19</v>
      </c>
      <c r="H22" s="369">
        <f>VLOOKUP($A22,'T3_data(t)'!$A:$N,8,FALSE)</f>
        <v>-35.299999999999997</v>
      </c>
      <c r="I22" s="369">
        <f>VLOOKUP($A22,'T3_data(t)'!$A:$N,9,FALSE)</f>
        <v>-15.57</v>
      </c>
      <c r="J22" s="369">
        <f>VLOOKUP($A22,'T3_data(t)'!$A:$N,10,FALSE)</f>
        <v>5.31</v>
      </c>
      <c r="K22" s="369">
        <f>VLOOKUP($A22,'T3_data(t)'!$A:$N,11,FALSE)</f>
        <v>3.15</v>
      </c>
      <c r="L22" s="369">
        <f>VLOOKUP($A22,'T3_data(t)'!$A:$N,12,FALSE)</f>
        <v>1.51</v>
      </c>
      <c r="M22" s="369">
        <f>VLOOKUP($A22,'T3_data(t)'!$A:$N,13,FALSE)</f>
        <v>1.65</v>
      </c>
      <c r="N22" s="369">
        <f>VLOOKUP($A22,'T3_data(t)'!$A:$N,14,FALSE)</f>
        <v>3.08</v>
      </c>
      <c r="P22" s="366" t="str">
        <f t="shared" si="13"/>
        <v>-1.2</v>
      </c>
      <c r="Q22" s="366" t="str">
        <f t="shared" si="14"/>
        <v>-35.3</v>
      </c>
      <c r="R22" s="366" t="str">
        <f t="shared" si="15"/>
        <v>-15.6</v>
      </c>
      <c r="S22" s="366" t="str">
        <f t="shared" si="16"/>
        <v>5.3</v>
      </c>
      <c r="T22" s="366" t="str">
        <f t="shared" si="35"/>
        <v>3.2</v>
      </c>
      <c r="U22" s="366" t="str">
        <f t="shared" si="36"/>
        <v>1.5</v>
      </c>
      <c r="V22" s="366" t="str">
        <f t="shared" si="37"/>
        <v>1.7</v>
      </c>
      <c r="W22" s="366" t="str">
        <f t="shared" si="38"/>
        <v>3.1</v>
      </c>
      <c r="X22" s="370"/>
      <c r="Y22" s="370"/>
      <c r="Z22" s="370"/>
      <c r="AA22" s="370"/>
      <c r="AB22" s="370"/>
    </row>
    <row r="23" spans="1:28" ht="19.5" customHeight="1">
      <c r="A23" s="293" t="s">
        <v>55</v>
      </c>
      <c r="B23" s="367">
        <f>VLOOKUP($A23,'T3_data(t)'!$A:$N,2,FALSE)</f>
        <v>4313.7700000000004</v>
      </c>
      <c r="C23" s="367">
        <f>VLOOKUP($A23,'T3_data(t)'!$A:$N,3,FALSE)</f>
        <v>407.2</v>
      </c>
      <c r="D23" s="367">
        <f>VLOOKUP($A23,'T3_data(t)'!$A:$N,4,FALSE)</f>
        <v>388.29</v>
      </c>
      <c r="E23" s="367">
        <f>VLOOKUP($A23,'T3_data(t)'!$A:$N,5,FALSE)</f>
        <v>412.12</v>
      </c>
      <c r="F23" s="368">
        <f>VLOOKUP($A23,'T3_data(t)'!$A:$N,6,FALSE)</f>
        <v>3848.63</v>
      </c>
      <c r="G23" s="369">
        <f>VLOOKUP($A23,'T3_data(t)'!$A:$N,7,FALSE)</f>
        <v>5.67</v>
      </c>
      <c r="H23" s="369">
        <f>VLOOKUP($A23,'T3_data(t)'!$A:$N,8,FALSE)</f>
        <v>6.45</v>
      </c>
      <c r="I23" s="369">
        <f>VLOOKUP($A23,'T3_data(t)'!$A:$N,9,FALSE)</f>
        <v>1.21</v>
      </c>
      <c r="J23" s="369">
        <f>VLOOKUP($A23,'T3_data(t)'!$A:$N,10,FALSE)</f>
        <v>7.12</v>
      </c>
      <c r="K23" s="369">
        <f>VLOOKUP($A23,'T3_data(t)'!$A:$N,11,FALSE)</f>
        <v>1.43</v>
      </c>
      <c r="L23" s="369">
        <f>VLOOKUP($A23,'T3_data(t)'!$A:$N,12,FALSE)</f>
        <v>1.25</v>
      </c>
      <c r="M23" s="369">
        <f>VLOOKUP($A23,'T3_data(t)'!$A:$N,13,FALSE)</f>
        <v>1.43</v>
      </c>
      <c r="N23" s="369">
        <f>VLOOKUP($A23,'T3_data(t)'!$A:$N,14,FALSE)</f>
        <v>1.36</v>
      </c>
      <c r="P23" s="366" t="str">
        <f t="shared" si="13"/>
        <v>5.7</v>
      </c>
      <c r="Q23" s="366" t="str">
        <f t="shared" si="14"/>
        <v>6.5</v>
      </c>
      <c r="R23" s="366" t="str">
        <f t="shared" si="15"/>
        <v>1.2</v>
      </c>
      <c r="S23" s="366" t="str">
        <f t="shared" si="16"/>
        <v>7.1</v>
      </c>
      <c r="T23" s="366" t="str">
        <f t="shared" si="35"/>
        <v>1.4</v>
      </c>
      <c r="U23" s="366" t="str">
        <f t="shared" si="36"/>
        <v>1.3</v>
      </c>
      <c r="V23" s="366" t="str">
        <f t="shared" si="37"/>
        <v>1.4</v>
      </c>
      <c r="W23" s="366" t="str">
        <f t="shared" si="38"/>
        <v>1.4</v>
      </c>
      <c r="X23" s="370">
        <f>'T3_data(t-1)'!B39</f>
        <v>4082.35</v>
      </c>
      <c r="Y23" s="370">
        <f>'T3_data(t-1)'!C39</f>
        <v>362.16</v>
      </c>
      <c r="Z23" s="370">
        <f>'T3_data(t-1)'!D39</f>
        <v>364.77</v>
      </c>
      <c r="AA23" s="370">
        <f>'T3_data(t-1)'!E39</f>
        <v>407.2</v>
      </c>
      <c r="AB23" s="370">
        <f>'T3_data(t-1)'!F39</f>
        <v>3592.74</v>
      </c>
    </row>
    <row r="24" spans="1:28" ht="19.5" customHeight="1">
      <c r="A24" s="293" t="s">
        <v>47</v>
      </c>
      <c r="B24" s="367">
        <f>'T3_data(t)'!B40</f>
        <v>1151313.55</v>
      </c>
      <c r="C24" s="367">
        <f>'T3_data(t)'!C40</f>
        <v>105267.79</v>
      </c>
      <c r="D24" s="367">
        <f>'T3_data(t)'!D40</f>
        <v>101066.88</v>
      </c>
      <c r="E24" s="367">
        <f>'T3_data(t)'!E40</f>
        <v>105899.68</v>
      </c>
      <c r="F24" s="371">
        <f>'T3_data(t)'!F40</f>
        <v>1013833.55</v>
      </c>
      <c r="G24" s="369">
        <f>'T3_data(t)'!G40</f>
        <v>6.3</v>
      </c>
      <c r="H24" s="369">
        <f>'T3_data(t)'!H40</f>
        <v>5.89</v>
      </c>
      <c r="I24" s="369">
        <f>'T3_data(t)'!I40</f>
        <v>0.6</v>
      </c>
      <c r="J24" s="369">
        <f>'T3_data(t)'!J40</f>
        <v>5.46</v>
      </c>
      <c r="K24" s="369"/>
      <c r="L24" s="369"/>
      <c r="M24" s="369"/>
      <c r="N24" s="369"/>
      <c r="P24" s="366" t="str">
        <f t="shared" si="13"/>
        <v>6.3</v>
      </c>
      <c r="Q24" s="366" t="str">
        <f t="shared" si="14"/>
        <v>5.9</v>
      </c>
      <c r="R24" s="366" t="str">
        <f t="shared" si="15"/>
        <v>0.6</v>
      </c>
      <c r="S24" s="366" t="str">
        <f t="shared" si="16"/>
        <v>5.5</v>
      </c>
      <c r="T24" s="366"/>
      <c r="U24" s="366"/>
      <c r="V24" s="366"/>
      <c r="W24" s="366"/>
      <c r="X24" s="370">
        <f>'T3_data(t-1)'!B40</f>
        <v>1083093.74</v>
      </c>
      <c r="Y24" s="370">
        <f>'T3_data(t-1)'!C40</f>
        <v>94261.46</v>
      </c>
      <c r="Z24" s="370">
        <f>'T3_data(t-1)'!D40</f>
        <v>95444.39</v>
      </c>
      <c r="AA24" s="370">
        <f>'T3_data(t-1)'!E40</f>
        <v>105267.79</v>
      </c>
      <c r="AB24" s="370">
        <f>'T3_data(t-1)'!F40</f>
        <v>961362.36</v>
      </c>
    </row>
    <row r="25" spans="1:28" ht="19.5" customHeight="1">
      <c r="A25" s="293" t="s">
        <v>234</v>
      </c>
      <c r="B25" s="367">
        <f>B23*1000000/B24</f>
        <v>3746.8246595377946</v>
      </c>
      <c r="C25" s="367">
        <f t="shared" ref="C25:F25" si="39">C23*1000000/C24</f>
        <v>3868.2297785485953</v>
      </c>
      <c r="D25" s="367">
        <f t="shared" si="39"/>
        <v>3841.9114154904155</v>
      </c>
      <c r="E25" s="367">
        <f t="shared" si="39"/>
        <v>3891.6076044800138</v>
      </c>
      <c r="F25" s="371">
        <f t="shared" si="39"/>
        <v>3796.1162362401597</v>
      </c>
      <c r="G25" s="369">
        <f>((B25/X25)-1)*100</f>
        <v>-0.59249369546912067</v>
      </c>
      <c r="H25" s="369">
        <f>((D25/Z25)-1)*100</f>
        <v>0.52605518148949315</v>
      </c>
      <c r="I25" s="369">
        <f t="shared" ref="I25" si="40">((E25/AA25)-1)*100</f>
        <v>0.60435463428416547</v>
      </c>
      <c r="J25" s="369">
        <f t="shared" ref="J25" si="41">((F25/AB25)-1)*100</f>
        <v>1.5782735100830392</v>
      </c>
      <c r="K25" s="369"/>
      <c r="L25" s="369"/>
      <c r="M25" s="369"/>
      <c r="N25" s="369"/>
      <c r="P25" s="366" t="str">
        <f t="shared" si="13"/>
        <v>-0.6</v>
      </c>
      <c r="Q25" s="366" t="str">
        <f t="shared" si="14"/>
        <v>0.5</v>
      </c>
      <c r="R25" s="366" t="str">
        <f t="shared" si="15"/>
        <v>0.6</v>
      </c>
      <c r="S25" s="366" t="str">
        <f t="shared" si="16"/>
        <v>1.6</v>
      </c>
      <c r="T25" s="366"/>
      <c r="U25" s="366"/>
      <c r="V25" s="366"/>
      <c r="W25" s="366"/>
      <c r="X25" s="370">
        <f>X23*1000000/X24</f>
        <v>3769.1566752107719</v>
      </c>
      <c r="Y25" s="370">
        <f t="shared" ref="Y25:AB25" si="42">Y23*1000000/Y24</f>
        <v>3842.079254872564</v>
      </c>
      <c r="Z25" s="370">
        <f t="shared" si="42"/>
        <v>3821.8066038244888</v>
      </c>
      <c r="AA25" s="370">
        <f t="shared" si="42"/>
        <v>3868.2297785485953</v>
      </c>
      <c r="AB25" s="370">
        <f t="shared" si="42"/>
        <v>3737.1340396559731</v>
      </c>
    </row>
    <row r="26" spans="1:28" ht="19.5" customHeight="1">
      <c r="A26" s="293" t="s">
        <v>56</v>
      </c>
      <c r="B26" s="367">
        <f>VLOOKUP($A26,'T3_data(t)'!$A:$N,2,FALSE)</f>
        <v>9.1999999999999993</v>
      </c>
      <c r="C26" s="367">
        <f>VLOOKUP($A26,'T3_data(t)'!$A:$N,3,FALSE)</f>
        <v>1.31</v>
      </c>
      <c r="D26" s="367">
        <f>VLOOKUP($A26,'T3_data(t)'!$A:$N,4,FALSE)</f>
        <v>0.84</v>
      </c>
      <c r="E26" s="367">
        <f>VLOOKUP($A26,'T3_data(t)'!$A:$N,5,FALSE)</f>
        <v>1.03</v>
      </c>
      <c r="F26" s="368">
        <f>VLOOKUP($A26,'T3_data(t)'!$A:$N,6,FALSE)</f>
        <v>9.3800000000000008</v>
      </c>
      <c r="G26" s="369">
        <f>VLOOKUP($A26,'T3_data(t)'!$A:$N,7,FALSE)</f>
        <v>7.1</v>
      </c>
      <c r="H26" s="369">
        <f>VLOOKUP($A26,'T3_data(t)'!$A:$N,8,FALSE)</f>
        <v>-21.5</v>
      </c>
      <c r="I26" s="369">
        <f>VLOOKUP($A26,'T3_data(t)'!$A:$N,9,FALSE)</f>
        <v>-21.37</v>
      </c>
      <c r="J26" s="369">
        <f>VLOOKUP($A26,'T3_data(t)'!$A:$N,10,FALSE)</f>
        <v>29.56</v>
      </c>
      <c r="K26" s="369">
        <f>VLOOKUP($A26,'T3_data(t)'!$A:$N,11,FALSE)</f>
        <v>0</v>
      </c>
      <c r="L26" s="369">
        <f>VLOOKUP($A26,'T3_data(t)'!$A:$N,12,FALSE)</f>
        <v>0</v>
      </c>
      <c r="M26" s="369">
        <f>VLOOKUP($A26,'T3_data(t)'!$A:$N,13,FALSE)</f>
        <v>0</v>
      </c>
      <c r="N26" s="369">
        <f>VLOOKUP($A26,'T3_data(t)'!$A:$N,14,FALSE)</f>
        <v>0</v>
      </c>
      <c r="P26" s="366" t="str">
        <f t="shared" si="13"/>
        <v>7.1</v>
      </c>
      <c r="Q26" s="366" t="str">
        <f t="shared" si="14"/>
        <v>-21.5</v>
      </c>
      <c r="R26" s="366" t="str">
        <f t="shared" si="15"/>
        <v>-21.4</v>
      </c>
      <c r="S26" s="366" t="str">
        <f t="shared" si="16"/>
        <v>29.6</v>
      </c>
      <c r="T26" s="366" t="str">
        <f t="shared" ref="T26" si="43">IF(FIXED(K26,1)="0.0",IF(FIXED(K26,2)="0.00",FIXED(K26,3),FIXED(K26,2)),FIXED(K26,1))</f>
        <v>0.000</v>
      </c>
      <c r="U26" s="366" t="str">
        <f t="shared" ref="U26" si="44">IF(FIXED(L26,1)="0.0",IF(FIXED(L26,2)="0.00",FIXED(L26,3),FIXED(L26,2)),FIXED(L26,1))</f>
        <v>0.000</v>
      </c>
      <c r="V26" s="366" t="str">
        <f t="shared" ref="V26" si="45">IF(FIXED(M26,1)="0.0",IF(FIXED(M26,2)="0.00",FIXED(M26,3),FIXED(M26,2)),FIXED(M26,1))</f>
        <v>0.000</v>
      </c>
      <c r="W26" s="366" t="str">
        <f t="shared" ref="W26" si="46">IF(FIXED(N26,1)="0.0",IF(FIXED(N26,2)="0.00",FIXED(N26,3),FIXED(N26,2)),FIXED(N26,1))</f>
        <v>0.000</v>
      </c>
      <c r="X26" s="370">
        <f>'T3_data(t-1)'!B41</f>
        <v>8.59</v>
      </c>
      <c r="Y26" s="370">
        <f>'T3_data(t-1)'!C41</f>
        <v>0.75</v>
      </c>
      <c r="Z26" s="370">
        <f>'T3_data(t-1)'!D41</f>
        <v>1.07</v>
      </c>
      <c r="AA26" s="370">
        <f>'T3_data(t-1)'!E41</f>
        <v>1.31</v>
      </c>
      <c r="AB26" s="370">
        <f>'T3_data(t-1)'!F41</f>
        <v>7.24</v>
      </c>
    </row>
    <row r="27" spans="1:28" ht="19.5" customHeight="1">
      <c r="A27" s="293" t="s">
        <v>47</v>
      </c>
      <c r="B27" s="367">
        <f>'T3_data(t)'!B42</f>
        <v>3426.15</v>
      </c>
      <c r="C27" s="367">
        <f>'T3_data(t)'!C42</f>
        <v>442.77</v>
      </c>
      <c r="D27" s="367">
        <f>'T3_data(t)'!D42</f>
        <v>236.59</v>
      </c>
      <c r="E27" s="367">
        <f>'T3_data(t)'!E42</f>
        <v>308.02999999999997</v>
      </c>
      <c r="F27" s="371">
        <f>'T3_data(t)'!F42</f>
        <v>2991.07</v>
      </c>
      <c r="G27" s="369">
        <f>'T3_data(t)'!G42</f>
        <v>30.37</v>
      </c>
      <c r="H27" s="369">
        <f>'T3_data(t)'!H42</f>
        <v>-41.04</v>
      </c>
      <c r="I27" s="369">
        <f>'T3_data(t)'!I42</f>
        <v>-30.43</v>
      </c>
      <c r="J27" s="369">
        <f>'T3_data(t)'!J42</f>
        <v>11.93</v>
      </c>
      <c r="K27" s="369"/>
      <c r="L27" s="369"/>
      <c r="M27" s="369"/>
      <c r="N27" s="369"/>
      <c r="P27" s="366" t="str">
        <f t="shared" si="13"/>
        <v>30.4</v>
      </c>
      <c r="Q27" s="366" t="str">
        <f t="shared" si="14"/>
        <v>-41.0</v>
      </c>
      <c r="R27" s="366" t="str">
        <f t="shared" si="15"/>
        <v>-30.4</v>
      </c>
      <c r="S27" s="366" t="str">
        <f t="shared" si="16"/>
        <v>11.9</v>
      </c>
      <c r="T27" s="366"/>
      <c r="U27" s="366"/>
      <c r="V27" s="366"/>
      <c r="W27" s="366"/>
      <c r="X27" s="370">
        <f>'T3_data(t-1)'!B42</f>
        <v>2628.04</v>
      </c>
      <c r="Y27" s="370">
        <f>'T3_data(t-1)'!C42</f>
        <v>242.37</v>
      </c>
      <c r="Z27" s="370">
        <f>'T3_data(t-1)'!D42</f>
        <v>401.29</v>
      </c>
      <c r="AA27" s="370">
        <f>'T3_data(t-1)'!E42</f>
        <v>442.77</v>
      </c>
      <c r="AB27" s="370">
        <f>'T3_data(t-1)'!F42</f>
        <v>2672.36</v>
      </c>
    </row>
    <row r="28" spans="1:28" ht="19.5" customHeight="1">
      <c r="A28" s="293" t="s">
        <v>234</v>
      </c>
      <c r="B28" s="367">
        <f>B26*1000000/B27</f>
        <v>2685.2297768632429</v>
      </c>
      <c r="C28" s="367">
        <f t="shared" ref="C28:F28" si="47">C26*1000000/C27</f>
        <v>2958.6467014477043</v>
      </c>
      <c r="D28" s="367">
        <f t="shared" si="47"/>
        <v>3550.4459191005535</v>
      </c>
      <c r="E28" s="367">
        <f t="shared" si="47"/>
        <v>3343.8301464143105</v>
      </c>
      <c r="F28" s="371">
        <f t="shared" si="47"/>
        <v>3136.0014977917599</v>
      </c>
      <c r="G28" s="369">
        <f>((B28/X28)-1)*100</f>
        <v>-17.847598803403063</v>
      </c>
      <c r="H28" s="369">
        <f>((D28/Z28)-1)*100</f>
        <v>33.154994661295454</v>
      </c>
      <c r="I28" s="369">
        <f t="shared" ref="I28" si="48">((E28/AA28)-1)*100</f>
        <v>13.018906406707199</v>
      </c>
      <c r="J28" s="369">
        <f t="shared" ref="J28" si="49">((F28/AB28)-1)*100</f>
        <v>15.753107218767791</v>
      </c>
      <c r="K28" s="369"/>
      <c r="L28" s="369"/>
      <c r="M28" s="369"/>
      <c r="N28" s="369"/>
      <c r="P28" s="366" t="str">
        <f t="shared" si="13"/>
        <v>-17.8</v>
      </c>
      <c r="Q28" s="366" t="str">
        <f t="shared" si="14"/>
        <v>33.2</v>
      </c>
      <c r="R28" s="366" t="str">
        <f t="shared" si="15"/>
        <v>13.0</v>
      </c>
      <c r="S28" s="366" t="str">
        <f t="shared" si="16"/>
        <v>15.8</v>
      </c>
      <c r="T28" s="366"/>
      <c r="U28" s="366"/>
      <c r="V28" s="366"/>
      <c r="W28" s="366"/>
      <c r="X28" s="370">
        <f>X26*1000000/X27</f>
        <v>3268.5956073727948</v>
      </c>
      <c r="Y28" s="370">
        <f t="shared" ref="Y28:AB28" si="50">Y26*1000000/Y27</f>
        <v>3094.4423814828569</v>
      </c>
      <c r="Z28" s="370">
        <f t="shared" si="50"/>
        <v>2666.4008572354155</v>
      </c>
      <c r="AA28" s="370">
        <f t="shared" si="50"/>
        <v>2958.6467014477043</v>
      </c>
      <c r="AB28" s="370">
        <f t="shared" si="50"/>
        <v>2709.2158242153</v>
      </c>
    </row>
    <row r="29" spans="1:28" ht="19.5" customHeight="1">
      <c r="A29" s="293" t="s">
        <v>57</v>
      </c>
      <c r="B29" s="367">
        <f>VLOOKUP($A29,'T3_data(t)'!$A:$N,2,FALSE)</f>
        <v>3029.42</v>
      </c>
      <c r="C29" s="367">
        <f>VLOOKUP($A29,'T3_data(t)'!$A:$N,3,FALSE)</f>
        <v>260.08999999999997</v>
      </c>
      <c r="D29" s="367">
        <f>VLOOKUP($A29,'T3_data(t)'!$A:$N,4,FALSE)</f>
        <v>269.44</v>
      </c>
      <c r="E29" s="367">
        <f>VLOOKUP($A29,'T3_data(t)'!$A:$N,5,FALSE)</f>
        <v>280.02999999999997</v>
      </c>
      <c r="F29" s="368">
        <f>VLOOKUP($A29,'T3_data(t)'!$A:$N,6,FALSE)</f>
        <v>2718.15</v>
      </c>
      <c r="G29" s="369">
        <f>VLOOKUP($A29,'T3_data(t)'!$A:$N,7,FALSE)</f>
        <v>22.92</v>
      </c>
      <c r="H29" s="369">
        <f>VLOOKUP($A29,'T3_data(t)'!$A:$N,8,FALSE)</f>
        <v>2.86</v>
      </c>
      <c r="I29" s="369">
        <f>VLOOKUP($A29,'T3_data(t)'!$A:$N,9,FALSE)</f>
        <v>7.67</v>
      </c>
      <c r="J29" s="369">
        <f>VLOOKUP($A29,'T3_data(t)'!$A:$N,10,FALSE)</f>
        <v>7.87</v>
      </c>
      <c r="K29" s="369">
        <f>VLOOKUP($A29,'T3_data(t)'!$A:$N,11,FALSE)</f>
        <v>1.01</v>
      </c>
      <c r="L29" s="369">
        <f>VLOOKUP($A29,'T3_data(t)'!$A:$N,12,FALSE)</f>
        <v>0.87</v>
      </c>
      <c r="M29" s="369">
        <f>VLOOKUP($A29,'T3_data(t)'!$A:$N,13,FALSE)</f>
        <v>0.97</v>
      </c>
      <c r="N29" s="369">
        <f>VLOOKUP($A29,'T3_data(t)'!$A:$N,14,FALSE)</f>
        <v>0.96</v>
      </c>
      <c r="P29" s="366" t="str">
        <f t="shared" si="13"/>
        <v>22.9</v>
      </c>
      <c r="Q29" s="366" t="str">
        <f t="shared" si="14"/>
        <v>2.9</v>
      </c>
      <c r="R29" s="366" t="str">
        <f t="shared" si="15"/>
        <v>7.7</v>
      </c>
      <c r="S29" s="366" t="str">
        <f t="shared" si="16"/>
        <v>7.9</v>
      </c>
      <c r="T29" s="366" t="str">
        <f t="shared" ref="T29:T31" si="51">IF(FIXED(K29,1)="0.0",IF(FIXED(K29,2)="0.00",FIXED(K29,3),FIXED(K29,2)),FIXED(K29,1))</f>
        <v>1.0</v>
      </c>
      <c r="U29" s="366" t="str">
        <f t="shared" ref="U29:U31" si="52">IF(FIXED(L29,1)="0.0",IF(FIXED(L29,2)="0.00",FIXED(L29,3),FIXED(L29,2)),FIXED(L29,1))</f>
        <v>0.9</v>
      </c>
      <c r="V29" s="366" t="str">
        <f t="shared" ref="V29:V31" si="53">IF(FIXED(M29,1)="0.0",IF(FIXED(M29,2)="0.00",FIXED(M29,3),FIXED(M29,2)),FIXED(M29,1))</f>
        <v>1.0</v>
      </c>
      <c r="W29" s="366" t="str">
        <f t="shared" ref="W29:W31" si="54">IF(FIXED(N29,1)="0.0",IF(FIXED(N29,2)="0.00",FIXED(N29,3),FIXED(N29,2)),FIXED(N29,1))</f>
        <v>1.0</v>
      </c>
    </row>
    <row r="30" spans="1:28" ht="19.5" customHeight="1">
      <c r="A30" s="293" t="s">
        <v>58</v>
      </c>
      <c r="B30" s="367">
        <f>VLOOKUP($A30,'T3_data(t)'!$A:$N,2,FALSE)</f>
        <v>2686.49</v>
      </c>
      <c r="C30" s="367">
        <f>VLOOKUP($A30,'T3_data(t)'!$A:$N,3,FALSE)</f>
        <v>230.75</v>
      </c>
      <c r="D30" s="367">
        <f>VLOOKUP($A30,'T3_data(t)'!$A:$N,4,FALSE)</f>
        <v>238.87</v>
      </c>
      <c r="E30" s="367">
        <f>VLOOKUP($A30,'T3_data(t)'!$A:$N,5,FALSE)</f>
        <v>248.98</v>
      </c>
      <c r="F30" s="368">
        <f>VLOOKUP($A30,'T3_data(t)'!$A:$N,6,FALSE)</f>
        <v>2405.09</v>
      </c>
      <c r="G30" s="369">
        <f>VLOOKUP($A30,'T3_data(t)'!$A:$N,7,FALSE)</f>
        <v>28.39</v>
      </c>
      <c r="H30" s="369">
        <f>VLOOKUP($A30,'T3_data(t)'!$A:$N,8,FALSE)</f>
        <v>1.95</v>
      </c>
      <c r="I30" s="369">
        <f>VLOOKUP($A30,'T3_data(t)'!$A:$N,9,FALSE)</f>
        <v>7.9</v>
      </c>
      <c r="J30" s="369">
        <f>VLOOKUP($A30,'T3_data(t)'!$A:$N,10,FALSE)</f>
        <v>7.63</v>
      </c>
      <c r="K30" s="369">
        <f>VLOOKUP($A30,'T3_data(t)'!$A:$N,11,FALSE)</f>
        <v>0.89</v>
      </c>
      <c r="L30" s="369">
        <f>VLOOKUP($A30,'T3_data(t)'!$A:$N,12,FALSE)</f>
        <v>0.77</v>
      </c>
      <c r="M30" s="369">
        <f>VLOOKUP($A30,'T3_data(t)'!$A:$N,13,FALSE)</f>
        <v>0.86</v>
      </c>
      <c r="N30" s="369">
        <f>VLOOKUP($A30,'T3_data(t)'!$A:$N,14,FALSE)</f>
        <v>0.85</v>
      </c>
      <c r="P30" s="366" t="str">
        <f t="shared" si="13"/>
        <v>28.4</v>
      </c>
      <c r="Q30" s="366" t="str">
        <f t="shared" si="14"/>
        <v>2.0</v>
      </c>
      <c r="R30" s="366" t="str">
        <f t="shared" si="15"/>
        <v>7.9</v>
      </c>
      <c r="S30" s="366" t="str">
        <f t="shared" si="16"/>
        <v>7.6</v>
      </c>
      <c r="T30" s="366" t="str">
        <f t="shared" si="51"/>
        <v>0.9</v>
      </c>
      <c r="U30" s="366" t="str">
        <f t="shared" si="52"/>
        <v>0.8</v>
      </c>
      <c r="V30" s="366" t="str">
        <f t="shared" si="53"/>
        <v>0.9</v>
      </c>
      <c r="W30" s="366" t="str">
        <f t="shared" si="54"/>
        <v>0.9</v>
      </c>
    </row>
    <row r="31" spans="1:28" ht="19.5" customHeight="1">
      <c r="A31" s="293" t="s">
        <v>59</v>
      </c>
      <c r="B31" s="367">
        <f>VLOOKUP($A31,'T3_data(t)'!$A:$N,2,FALSE)</f>
        <v>2422</v>
      </c>
      <c r="C31" s="367">
        <f>VLOOKUP($A31,'T3_data(t)'!$A:$N,3,FALSE)</f>
        <v>115.88</v>
      </c>
      <c r="D31" s="367">
        <f>VLOOKUP($A31,'T3_data(t)'!$A:$N,4,FALSE)</f>
        <v>212.38</v>
      </c>
      <c r="E31" s="367">
        <f>VLOOKUP($A31,'T3_data(t)'!$A:$N,5,FALSE)</f>
        <v>127.76</v>
      </c>
      <c r="F31" s="368">
        <f>VLOOKUP($A31,'T3_data(t)'!$A:$N,6,FALSE)</f>
        <v>2461.0500000000002</v>
      </c>
      <c r="G31" s="369">
        <f>VLOOKUP($A31,'T3_data(t)'!$A:$N,7,FALSE)</f>
        <v>-30.67</v>
      </c>
      <c r="H31" s="369">
        <f>VLOOKUP($A31,'T3_data(t)'!$A:$N,8,FALSE)</f>
        <v>42.81</v>
      </c>
      <c r="I31" s="369">
        <f>VLOOKUP($A31,'T3_data(t)'!$A:$N,9,FALSE)</f>
        <v>10.25</v>
      </c>
      <c r="J31" s="369">
        <f>VLOOKUP($A31,'T3_data(t)'!$A:$N,10,FALSE)</f>
        <v>11.6</v>
      </c>
      <c r="K31" s="369">
        <f>VLOOKUP($A31,'T3_data(t)'!$A:$N,11,FALSE)</f>
        <v>0.81</v>
      </c>
      <c r="L31" s="369">
        <f>VLOOKUP($A31,'T3_data(t)'!$A:$N,12,FALSE)</f>
        <v>0.69</v>
      </c>
      <c r="M31" s="369">
        <f>VLOOKUP($A31,'T3_data(t)'!$A:$N,13,FALSE)</f>
        <v>0.44</v>
      </c>
      <c r="N31" s="369">
        <f>VLOOKUP($A31,'T3_data(t)'!$A:$N,14,FALSE)</f>
        <v>0.87</v>
      </c>
      <c r="P31" s="366" t="str">
        <f t="shared" si="13"/>
        <v>-30.7</v>
      </c>
      <c r="Q31" s="366" t="str">
        <f t="shared" si="14"/>
        <v>42.8</v>
      </c>
      <c r="R31" s="366" t="str">
        <f t="shared" si="15"/>
        <v>10.3</v>
      </c>
      <c r="S31" s="366" t="str">
        <f t="shared" si="16"/>
        <v>11.6</v>
      </c>
      <c r="T31" s="366" t="str">
        <f t="shared" si="51"/>
        <v>0.8</v>
      </c>
      <c r="U31" s="366" t="str">
        <f t="shared" si="52"/>
        <v>0.7</v>
      </c>
      <c r="V31" s="366" t="str">
        <f t="shared" si="53"/>
        <v>0.4</v>
      </c>
      <c r="W31" s="366" t="str">
        <f t="shared" si="54"/>
        <v>0.9</v>
      </c>
      <c r="X31" s="370">
        <f>'T3_data(t-1)'!B53</f>
        <v>3493.56</v>
      </c>
      <c r="Y31" s="370">
        <f>'T3_data(t-1)'!C53</f>
        <v>132.91999999999999</v>
      </c>
      <c r="Z31" s="370">
        <f>'T3_data(t-1)'!D53</f>
        <v>148.71</v>
      </c>
      <c r="AA31" s="370">
        <f>'T3_data(t-1)'!E53</f>
        <v>115.88</v>
      </c>
      <c r="AB31" s="370">
        <f>'T3_data(t-1)'!F53</f>
        <v>2205.29</v>
      </c>
    </row>
    <row r="32" spans="1:28" ht="19.5" customHeight="1">
      <c r="A32" s="293" t="s">
        <v>47</v>
      </c>
      <c r="B32" s="367">
        <f>'T3_data(t)'!B54</f>
        <v>4194031.31</v>
      </c>
      <c r="C32" s="367">
        <f>'T3_data(t)'!C54</f>
        <v>194137.56</v>
      </c>
      <c r="D32" s="367">
        <f>'T3_data(t)'!D54</f>
        <v>461916.95</v>
      </c>
      <c r="E32" s="367">
        <f>'T3_data(t)'!E54</f>
        <v>266397.96999999997</v>
      </c>
      <c r="F32" s="371">
        <f>'T3_data(t)'!F54</f>
        <v>5134834.83</v>
      </c>
      <c r="G32" s="369">
        <f>'T3_data(t)'!G54</f>
        <v>-36.520000000000003</v>
      </c>
      <c r="H32" s="369">
        <f>'T3_data(t)'!H54</f>
        <v>78.319999999999993</v>
      </c>
      <c r="I32" s="369">
        <f>'T3_data(t)'!I54</f>
        <v>37.22</v>
      </c>
      <c r="J32" s="369">
        <f>'T3_data(t)'!J54</f>
        <v>34.32</v>
      </c>
      <c r="K32" s="369"/>
      <c r="L32" s="369"/>
      <c r="M32" s="369"/>
      <c r="N32" s="369"/>
      <c r="P32" s="366" t="str">
        <f t="shared" si="13"/>
        <v>-36.5</v>
      </c>
      <c r="Q32" s="366" t="str">
        <f t="shared" si="14"/>
        <v>78.3</v>
      </c>
      <c r="R32" s="366" t="str">
        <f t="shared" si="15"/>
        <v>37.2</v>
      </c>
      <c r="S32" s="366" t="str">
        <f t="shared" si="16"/>
        <v>34.3</v>
      </c>
      <c r="T32" s="366"/>
      <c r="U32" s="366"/>
      <c r="V32" s="366"/>
      <c r="W32" s="366"/>
      <c r="X32" s="370">
        <f>'T3_data(t-1)'!B54</f>
        <v>6607263.29</v>
      </c>
      <c r="Y32" s="370">
        <f>'T3_data(t-1)'!C54</f>
        <v>214213.8</v>
      </c>
      <c r="Z32" s="370">
        <f>'T3_data(t-1)'!D54</f>
        <v>259032.48</v>
      </c>
      <c r="AA32" s="370">
        <f>'T3_data(t-1)'!E54</f>
        <v>194137.56</v>
      </c>
      <c r="AB32" s="370">
        <f>'T3_data(t-1)'!F54</f>
        <v>3822764.74</v>
      </c>
    </row>
    <row r="33" spans="1:28" ht="19.5" customHeight="1">
      <c r="A33" s="293" t="s">
        <v>234</v>
      </c>
      <c r="B33" s="367">
        <f>B31*1000000/B32</f>
        <v>577.48734355538227</v>
      </c>
      <c r="C33" s="367">
        <f t="shared" ref="C33:F33" si="55">C31*1000000/C32</f>
        <v>596.89634504523497</v>
      </c>
      <c r="D33" s="367">
        <f t="shared" si="55"/>
        <v>459.77962055733178</v>
      </c>
      <c r="E33" s="367">
        <f t="shared" si="55"/>
        <v>479.5832340614308</v>
      </c>
      <c r="F33" s="371">
        <f t="shared" si="55"/>
        <v>479.285134084829</v>
      </c>
      <c r="G33" s="369">
        <f>((B33/X33)-1)*100</f>
        <v>9.2184169017590847</v>
      </c>
      <c r="H33" s="369">
        <f>((D33/Z33)-1)*100</f>
        <v>-19.912678793339623</v>
      </c>
      <c r="I33" s="369">
        <f t="shared" ref="I33" si="56">((E33/AA33)-1)*100</f>
        <v>-19.653849777705336</v>
      </c>
      <c r="J33" s="369">
        <f t="shared" ref="J33" si="57">((F33/AB33)-1)*100</f>
        <v>-16.918214339807626</v>
      </c>
      <c r="K33" s="369"/>
      <c r="L33" s="369"/>
      <c r="M33" s="369"/>
      <c r="N33" s="369"/>
      <c r="P33" s="366" t="str">
        <f t="shared" si="13"/>
        <v>9.2</v>
      </c>
      <c r="Q33" s="366" t="str">
        <f t="shared" si="14"/>
        <v>-19.9</v>
      </c>
      <c r="R33" s="366" t="str">
        <f t="shared" si="15"/>
        <v>-19.7</v>
      </c>
      <c r="S33" s="366" t="str">
        <f t="shared" si="16"/>
        <v>-16.9</v>
      </c>
      <c r="T33" s="366"/>
      <c r="U33" s="366"/>
      <c r="V33" s="366"/>
      <c r="W33" s="366"/>
      <c r="X33" s="370">
        <f>X31*1000000/X32</f>
        <v>528.74538922755721</v>
      </c>
      <c r="Y33" s="370">
        <f t="shared" ref="Y33:AB33" si="58">Y31*1000000/Y32</f>
        <v>620.50157366145413</v>
      </c>
      <c r="Z33" s="370">
        <f t="shared" si="58"/>
        <v>574.09788919134769</v>
      </c>
      <c r="AA33" s="370">
        <f t="shared" si="58"/>
        <v>596.89634504523497</v>
      </c>
      <c r="AB33" s="370">
        <f t="shared" si="58"/>
        <v>576.8835254036585</v>
      </c>
    </row>
    <row r="34" spans="1:28" s="361" customFormat="1" ht="19.5" customHeight="1">
      <c r="A34" s="292" t="s">
        <v>60</v>
      </c>
      <c r="B34" s="363">
        <f>VLOOKUP($A34,'T3_data(t)'!$A:$N,2,FALSE)</f>
        <v>237575.96</v>
      </c>
      <c r="C34" s="363">
        <f>VLOOKUP($A34,'T3_data(t)'!$A:$N,3,FALSE)</f>
        <v>22085.37</v>
      </c>
      <c r="D34" s="363">
        <f>VLOOKUP($A34,'T3_data(t)'!$A:$N,4,FALSE)</f>
        <v>26339.279999999999</v>
      </c>
      <c r="E34" s="363">
        <f>VLOOKUP($A34,'T3_data(t)'!$A:$N,5,FALSE)</f>
        <v>24032.36</v>
      </c>
      <c r="F34" s="364">
        <f>VLOOKUP($A34,'T3_data(t)'!$A:$N,6,FALSE)</f>
        <v>231201.85</v>
      </c>
      <c r="G34" s="365">
        <f>VLOOKUP($A34,'T3_data(t)'!$A:$N,7,FALSE)</f>
        <v>5.98</v>
      </c>
      <c r="H34" s="365">
        <f>VLOOKUP($A34,'T3_data(t)'!$A:$N,8,FALSE)</f>
        <v>26.4</v>
      </c>
      <c r="I34" s="365">
        <f>VLOOKUP($A34,'T3_data(t)'!$A:$N,9,FALSE)</f>
        <v>8.82</v>
      </c>
      <c r="J34" s="365">
        <f>VLOOKUP($A34,'T3_data(t)'!$A:$N,10,FALSE)</f>
        <v>17.489999999999998</v>
      </c>
      <c r="K34" s="365">
        <f>VLOOKUP($A34,'T3_data(t)'!$A:$N,11,FALSE)</f>
        <v>79</v>
      </c>
      <c r="L34" s="365">
        <f>VLOOKUP($A34,'T3_data(t)'!$A:$N,12,FALSE)</f>
        <v>85.05</v>
      </c>
      <c r="M34" s="365">
        <f>VLOOKUP($A34,'T3_data(t)'!$A:$N,13,FALSE)</f>
        <v>83.34</v>
      </c>
      <c r="N34" s="365">
        <f>VLOOKUP($A34,'T3_data(t)'!$A:$N,14,FALSE)</f>
        <v>81.7</v>
      </c>
      <c r="P34" s="366" t="str">
        <f t="shared" si="13"/>
        <v>6.0</v>
      </c>
      <c r="Q34" s="366" t="str">
        <f t="shared" si="14"/>
        <v>26.4</v>
      </c>
      <c r="R34" s="366" t="str">
        <f t="shared" si="15"/>
        <v>8.8</v>
      </c>
      <c r="S34" s="366" t="str">
        <f t="shared" si="16"/>
        <v>17.5</v>
      </c>
      <c r="T34" s="366" t="str">
        <f t="shared" ref="T34" si="59">IF(FIXED(K34,1)="0.0",IF(FIXED(K34,2)="0.00",FIXED(K34,3),FIXED(K34,2)),FIXED(K34,1))</f>
        <v>79.0</v>
      </c>
      <c r="U34" s="366" t="str">
        <f t="shared" ref="U34" si="60">IF(FIXED(L34,1)="0.0",IF(FIXED(L34,2)="0.00",FIXED(L34,3),FIXED(L34,2)),FIXED(L34,1))</f>
        <v>85.1</v>
      </c>
      <c r="V34" s="366" t="str">
        <f t="shared" ref="V34" si="61">IF(FIXED(M34,1)="0.0",IF(FIXED(M34,2)="0.00",FIXED(M34,3),FIXED(M34,2)),FIXED(M34,1))</f>
        <v>83.3</v>
      </c>
      <c r="W34" s="366" t="str">
        <f t="shared" ref="W34" si="62">IF(FIXED(N34,1)="0.0",IF(FIXED(N34,2)="0.00",FIXED(N34,3),FIXED(N34,2)),FIXED(N34,1))</f>
        <v>81.7</v>
      </c>
    </row>
    <row r="35" spans="1:28" ht="19.5" customHeight="1">
      <c r="A35" s="293" t="s">
        <v>61</v>
      </c>
      <c r="B35" s="367">
        <f>VLOOKUP($A35,'T3_data(t)'!$A:$N,2,FALSE)</f>
        <v>39462.089999999997</v>
      </c>
      <c r="C35" s="367">
        <f>VLOOKUP($A35,'T3_data(t)'!$A:$N,3,FALSE)</f>
        <v>3057.77</v>
      </c>
      <c r="D35" s="367">
        <f>VLOOKUP($A35,'T3_data(t)'!$A:$N,4,FALSE)</f>
        <v>3582.31</v>
      </c>
      <c r="E35" s="367">
        <f>VLOOKUP($A35,'T3_data(t)'!$A:$N,5,FALSE)</f>
        <v>3514.2</v>
      </c>
      <c r="F35" s="368">
        <f>VLOOKUP($A35,'T3_data(t)'!$A:$N,6,FALSE)</f>
        <v>33425.56</v>
      </c>
      <c r="G35" s="369">
        <f>VLOOKUP($A35,'T3_data(t)'!$A:$N,7,FALSE)</f>
        <v>-6.66</v>
      </c>
      <c r="H35" s="369">
        <f>VLOOKUP($A35,'T3_data(t)'!$A:$N,8,FALSE)</f>
        <v>15.37</v>
      </c>
      <c r="I35" s="369">
        <f>VLOOKUP($A35,'T3_data(t)'!$A:$N,9,FALSE)</f>
        <v>14.93</v>
      </c>
      <c r="J35" s="369">
        <f>VLOOKUP($A35,'T3_data(t)'!$A:$N,10,FALSE)</f>
        <v>2.33</v>
      </c>
      <c r="K35" s="369">
        <f>VLOOKUP($A35,'T3_data(t)'!$A:$N,11,FALSE)</f>
        <v>13.12</v>
      </c>
      <c r="L35" s="369">
        <f>VLOOKUP($A35,'T3_data(t)'!$A:$N,12,FALSE)</f>
        <v>11.57</v>
      </c>
      <c r="M35" s="369">
        <f>VLOOKUP($A35,'T3_data(t)'!$A:$N,13,FALSE)</f>
        <v>12.19</v>
      </c>
      <c r="N35" s="369">
        <f>VLOOKUP($A35,'T3_data(t)'!$A:$N,14,FALSE)</f>
        <v>11.81</v>
      </c>
      <c r="P35" s="366" t="str">
        <f t="shared" si="13"/>
        <v>-6.7</v>
      </c>
      <c r="Q35" s="366" t="str">
        <f t="shared" si="14"/>
        <v>15.4</v>
      </c>
      <c r="R35" s="366" t="str">
        <f t="shared" si="15"/>
        <v>14.9</v>
      </c>
      <c r="S35" s="366" t="str">
        <f t="shared" si="16"/>
        <v>2.3</v>
      </c>
      <c r="T35" s="366" t="str">
        <f t="shared" ref="T35:T76" si="63">IF(FIXED(K35,1)="0.0",FIXED(K35,2),FIXED(K35,1))</f>
        <v>13.1</v>
      </c>
      <c r="U35" s="366" t="str">
        <f t="shared" ref="U35:U76" si="64">IF(FIXED(L35,1)="0.0",FIXED(L35,2),FIXED(L35,1))</f>
        <v>11.6</v>
      </c>
      <c r="V35" s="366" t="str">
        <f t="shared" ref="V35:V76" si="65">IF(FIXED(M35,1)="0.0",FIXED(M35,2),FIXED(M35,1))</f>
        <v>12.2</v>
      </c>
      <c r="W35" s="366" t="str">
        <f t="shared" ref="W35:W76" si="66">IF(FIXED(N35,1)="0.0",FIXED(N35,2),FIXED(N35,1))</f>
        <v>11.8</v>
      </c>
    </row>
    <row r="36" spans="1:28" ht="19.5" customHeight="1">
      <c r="A36" s="293" t="s">
        <v>62</v>
      </c>
      <c r="B36" s="367">
        <f>VLOOKUP($A36,'T3_data(t)'!$A:$N,2,FALSE)</f>
        <v>23266.36</v>
      </c>
      <c r="C36" s="367">
        <f>VLOOKUP($A36,'T3_data(t)'!$A:$N,3,FALSE)</f>
        <v>1675.81</v>
      </c>
      <c r="D36" s="367">
        <f>VLOOKUP($A36,'T3_data(t)'!$A:$N,4,FALSE)</f>
        <v>2009.99</v>
      </c>
      <c r="E36" s="367">
        <f>VLOOKUP($A36,'T3_data(t)'!$A:$N,5,FALSE)</f>
        <v>1951.35</v>
      </c>
      <c r="F36" s="368">
        <f>VLOOKUP($A36,'T3_data(t)'!$A:$N,6,FALSE)</f>
        <v>18747.689999999999</v>
      </c>
      <c r="G36" s="369">
        <f>VLOOKUP($A36,'T3_data(t)'!$A:$N,7,FALSE)</f>
        <v>-6.77</v>
      </c>
      <c r="H36" s="369">
        <f>VLOOKUP($A36,'T3_data(t)'!$A:$N,8,FALSE)</f>
        <v>14.93</v>
      </c>
      <c r="I36" s="369">
        <f>VLOOKUP($A36,'T3_data(t)'!$A:$N,9,FALSE)</f>
        <v>16.440000000000001</v>
      </c>
      <c r="J36" s="369">
        <f>VLOOKUP($A36,'T3_data(t)'!$A:$N,10,FALSE)</f>
        <v>-2.5</v>
      </c>
      <c r="K36" s="369">
        <f>VLOOKUP($A36,'T3_data(t)'!$A:$N,11,FALSE)</f>
        <v>7.74</v>
      </c>
      <c r="L36" s="369">
        <f>VLOOKUP($A36,'T3_data(t)'!$A:$N,12,FALSE)</f>
        <v>6.49</v>
      </c>
      <c r="M36" s="369">
        <f>VLOOKUP($A36,'T3_data(t)'!$A:$N,13,FALSE)</f>
        <v>6.77</v>
      </c>
      <c r="N36" s="369">
        <f>VLOOKUP($A36,'T3_data(t)'!$A:$N,14,FALSE)</f>
        <v>6.63</v>
      </c>
      <c r="P36" s="366" t="str">
        <f t="shared" si="13"/>
        <v>-6.8</v>
      </c>
      <c r="Q36" s="366" t="str">
        <f t="shared" si="14"/>
        <v>14.9</v>
      </c>
      <c r="R36" s="366" t="str">
        <f t="shared" si="15"/>
        <v>16.4</v>
      </c>
      <c r="S36" s="366" t="str">
        <f t="shared" si="16"/>
        <v>-2.5</v>
      </c>
      <c r="T36" s="366" t="str">
        <f t="shared" si="63"/>
        <v>7.7</v>
      </c>
      <c r="U36" s="366" t="str">
        <f t="shared" si="64"/>
        <v>6.5</v>
      </c>
      <c r="V36" s="366" t="str">
        <f t="shared" si="65"/>
        <v>6.8</v>
      </c>
      <c r="W36" s="366" t="str">
        <f t="shared" si="66"/>
        <v>6.6</v>
      </c>
    </row>
    <row r="37" spans="1:28" ht="19.5" customHeight="1">
      <c r="A37" s="293" t="s">
        <v>63</v>
      </c>
      <c r="B37" s="367">
        <f>VLOOKUP($A37,'T3_data(t)'!$A:$N,2,FALSE)</f>
        <v>12269.82</v>
      </c>
      <c r="C37" s="367">
        <f>VLOOKUP($A37,'T3_data(t)'!$A:$N,3,FALSE)</f>
        <v>905.87</v>
      </c>
      <c r="D37" s="367">
        <f>VLOOKUP($A37,'T3_data(t)'!$A:$N,4,FALSE)</f>
        <v>754.57</v>
      </c>
      <c r="E37" s="367">
        <f>VLOOKUP($A37,'T3_data(t)'!$A:$N,5,FALSE)</f>
        <v>661.42</v>
      </c>
      <c r="F37" s="368">
        <f>VLOOKUP($A37,'T3_data(t)'!$A:$N,6,FALSE)</f>
        <v>8610.58</v>
      </c>
      <c r="G37" s="369">
        <f>VLOOKUP($A37,'T3_data(t)'!$A:$N,7,FALSE)</f>
        <v>-4.2</v>
      </c>
      <c r="H37" s="369">
        <f>VLOOKUP($A37,'T3_data(t)'!$A:$N,8,FALSE)</f>
        <v>-22.35</v>
      </c>
      <c r="I37" s="369">
        <f>VLOOKUP($A37,'T3_data(t)'!$A:$N,9,FALSE)</f>
        <v>-26.99</v>
      </c>
      <c r="J37" s="369">
        <f>VLOOKUP($A37,'T3_data(t)'!$A:$N,10,FALSE)</f>
        <v>-15.58</v>
      </c>
      <c r="K37" s="369">
        <f>VLOOKUP($A37,'T3_data(t)'!$A:$N,11,FALSE)</f>
        <v>4.08</v>
      </c>
      <c r="L37" s="369">
        <f>VLOOKUP($A37,'T3_data(t)'!$A:$N,12,FALSE)</f>
        <v>2.44</v>
      </c>
      <c r="M37" s="369">
        <f>VLOOKUP($A37,'T3_data(t)'!$A:$N,13,FALSE)</f>
        <v>2.29</v>
      </c>
      <c r="N37" s="369">
        <f>VLOOKUP($A37,'T3_data(t)'!$A:$N,14,FALSE)</f>
        <v>3.04</v>
      </c>
      <c r="P37" s="366" t="str">
        <f t="shared" si="13"/>
        <v>-4.2</v>
      </c>
      <c r="Q37" s="366" t="str">
        <f t="shared" si="14"/>
        <v>-22.4</v>
      </c>
      <c r="R37" s="366" t="str">
        <f t="shared" si="15"/>
        <v>-27.0</v>
      </c>
      <c r="S37" s="366" t="str">
        <f t="shared" si="16"/>
        <v>-15.6</v>
      </c>
      <c r="T37" s="366" t="str">
        <f t="shared" si="63"/>
        <v>4.1</v>
      </c>
      <c r="U37" s="366" t="str">
        <f t="shared" si="64"/>
        <v>2.4</v>
      </c>
      <c r="V37" s="366" t="str">
        <f t="shared" si="65"/>
        <v>2.3</v>
      </c>
      <c r="W37" s="366" t="str">
        <f t="shared" si="66"/>
        <v>3.0</v>
      </c>
    </row>
    <row r="38" spans="1:28" ht="19.5" customHeight="1">
      <c r="A38" s="293" t="s">
        <v>64</v>
      </c>
      <c r="B38" s="367">
        <f>VLOOKUP($A38,'T3_data(t)'!$A:$N,2,FALSE)</f>
        <v>8609.67</v>
      </c>
      <c r="C38" s="367">
        <f>VLOOKUP($A38,'T3_data(t)'!$A:$N,3,FALSE)</f>
        <v>585.67999999999995</v>
      </c>
      <c r="D38" s="367">
        <f>VLOOKUP($A38,'T3_data(t)'!$A:$N,4,FALSE)</f>
        <v>1087.6199999999999</v>
      </c>
      <c r="E38" s="367">
        <f>VLOOKUP($A38,'T3_data(t)'!$A:$N,5,FALSE)</f>
        <v>1115.96</v>
      </c>
      <c r="F38" s="368">
        <f>VLOOKUP($A38,'T3_data(t)'!$A:$N,6,FALSE)</f>
        <v>8039.56</v>
      </c>
      <c r="G38" s="369">
        <f>VLOOKUP($A38,'T3_data(t)'!$A:$N,7,FALSE)</f>
        <v>-7.68</v>
      </c>
      <c r="H38" s="369">
        <f>VLOOKUP($A38,'T3_data(t)'!$A:$N,8,FALSE)</f>
        <v>73.58</v>
      </c>
      <c r="I38" s="369">
        <f>VLOOKUP($A38,'T3_data(t)'!$A:$N,9,FALSE)</f>
        <v>90.54</v>
      </c>
      <c r="J38" s="369">
        <f>VLOOKUP($A38,'T3_data(t)'!$A:$N,10,FALSE)</f>
        <v>13.08</v>
      </c>
      <c r="K38" s="369">
        <f>VLOOKUP($A38,'T3_data(t)'!$A:$N,11,FALSE)</f>
        <v>2.86</v>
      </c>
      <c r="L38" s="369">
        <f>VLOOKUP($A38,'T3_data(t)'!$A:$N,12,FALSE)</f>
        <v>3.51</v>
      </c>
      <c r="M38" s="369">
        <f>VLOOKUP($A38,'T3_data(t)'!$A:$N,13,FALSE)</f>
        <v>3.87</v>
      </c>
      <c r="N38" s="369">
        <f>VLOOKUP($A38,'T3_data(t)'!$A:$N,14,FALSE)</f>
        <v>2.84</v>
      </c>
      <c r="P38" s="366" t="str">
        <f t="shared" si="13"/>
        <v>-7.7</v>
      </c>
      <c r="Q38" s="366" t="str">
        <f t="shared" si="14"/>
        <v>73.6</v>
      </c>
      <c r="R38" s="366" t="str">
        <f t="shared" si="15"/>
        <v>90.5</v>
      </c>
      <c r="S38" s="366" t="str">
        <f t="shared" si="16"/>
        <v>13.1</v>
      </c>
      <c r="T38" s="366" t="str">
        <f t="shared" si="63"/>
        <v>2.9</v>
      </c>
      <c r="U38" s="366" t="str">
        <f t="shared" si="64"/>
        <v>3.5</v>
      </c>
      <c r="V38" s="366" t="str">
        <f t="shared" si="65"/>
        <v>3.9</v>
      </c>
      <c r="W38" s="366" t="str">
        <f t="shared" si="66"/>
        <v>2.8</v>
      </c>
    </row>
    <row r="39" spans="1:28" ht="19.5" customHeight="1">
      <c r="A39" s="293" t="s">
        <v>65</v>
      </c>
      <c r="B39" s="367">
        <f>VLOOKUP($A39,'T3_data(t)'!$A:$N,2,FALSE)</f>
        <v>2367.75</v>
      </c>
      <c r="C39" s="367">
        <f>VLOOKUP($A39,'T3_data(t)'!$A:$N,3,FALSE)</f>
        <v>182.62</v>
      </c>
      <c r="D39" s="367">
        <f>VLOOKUP($A39,'T3_data(t)'!$A:$N,4,FALSE)</f>
        <v>161.35</v>
      </c>
      <c r="E39" s="367">
        <f>VLOOKUP($A39,'T3_data(t)'!$A:$N,5,FALSE)</f>
        <v>169.87</v>
      </c>
      <c r="F39" s="368">
        <f>VLOOKUP($A39,'T3_data(t)'!$A:$N,6,FALSE)</f>
        <v>2037.83</v>
      </c>
      <c r="G39" s="369">
        <f>VLOOKUP($A39,'T3_data(t)'!$A:$N,7,FALSE)</f>
        <v>-15.08</v>
      </c>
      <c r="H39" s="369">
        <f>VLOOKUP($A39,'T3_data(t)'!$A:$N,8,FALSE)</f>
        <v>8.69</v>
      </c>
      <c r="I39" s="369">
        <f>VLOOKUP($A39,'T3_data(t)'!$A:$N,9,FALSE)</f>
        <v>-6.98</v>
      </c>
      <c r="J39" s="369">
        <f>VLOOKUP($A39,'T3_data(t)'!$A:$N,10,FALSE)</f>
        <v>7.15</v>
      </c>
      <c r="K39" s="369">
        <f>VLOOKUP($A39,'T3_data(t)'!$A:$N,11,FALSE)</f>
        <v>0.79</v>
      </c>
      <c r="L39" s="369">
        <f>VLOOKUP($A39,'T3_data(t)'!$A:$N,12,FALSE)</f>
        <v>0.52</v>
      </c>
      <c r="M39" s="369">
        <f>VLOOKUP($A39,'T3_data(t)'!$A:$N,13,FALSE)</f>
        <v>0.59</v>
      </c>
      <c r="N39" s="369">
        <f>VLOOKUP($A39,'T3_data(t)'!$A:$N,14,FALSE)</f>
        <v>0.72</v>
      </c>
      <c r="P39" s="366" t="str">
        <f t="shared" si="13"/>
        <v>-15.1</v>
      </c>
      <c r="Q39" s="366" t="str">
        <f t="shared" si="14"/>
        <v>8.7</v>
      </c>
      <c r="R39" s="366" t="str">
        <f t="shared" si="15"/>
        <v>-7.0</v>
      </c>
      <c r="S39" s="366" t="str">
        <f t="shared" si="16"/>
        <v>7.2</v>
      </c>
      <c r="T39" s="366" t="str">
        <f t="shared" si="63"/>
        <v>0.8</v>
      </c>
      <c r="U39" s="366" t="str">
        <f t="shared" si="64"/>
        <v>0.5</v>
      </c>
      <c r="V39" s="366" t="str">
        <f t="shared" si="65"/>
        <v>0.6</v>
      </c>
      <c r="W39" s="366" t="str">
        <f t="shared" si="66"/>
        <v>0.7</v>
      </c>
    </row>
    <row r="40" spans="1:28" ht="19.5" customHeight="1">
      <c r="A40" s="293" t="s">
        <v>66</v>
      </c>
      <c r="B40" s="367">
        <f>VLOOKUP($A40,'T3_data(t)'!$A:$N,2,FALSE)</f>
        <v>18.899999999999999</v>
      </c>
      <c r="C40" s="367">
        <f>VLOOKUP($A40,'T3_data(t)'!$A:$N,3,FALSE)</f>
        <v>1.64</v>
      </c>
      <c r="D40" s="367">
        <f>VLOOKUP($A40,'T3_data(t)'!$A:$N,4,FALSE)</f>
        <v>6.4</v>
      </c>
      <c r="E40" s="367">
        <f>VLOOKUP($A40,'T3_data(t)'!$A:$N,5,FALSE)</f>
        <v>4.0999999999999996</v>
      </c>
      <c r="F40" s="368">
        <f>VLOOKUP($A40,'T3_data(t)'!$A:$N,6,FALSE)</f>
        <v>59.64</v>
      </c>
      <c r="G40" s="369">
        <f>VLOOKUP($A40,'T3_data(t)'!$A:$N,7,FALSE)</f>
        <v>-44.83</v>
      </c>
      <c r="H40" s="369">
        <f>VLOOKUP($A40,'T3_data(t)'!$A:$N,8,FALSE)</f>
        <v>193.58</v>
      </c>
      <c r="I40" s="369">
        <f>VLOOKUP($A40,'T3_data(t)'!$A:$N,9,FALSE)</f>
        <v>150</v>
      </c>
      <c r="J40" s="369">
        <f>VLOOKUP($A40,'T3_data(t)'!$A:$N,10,FALSE)</f>
        <v>243.35</v>
      </c>
      <c r="K40" s="372">
        <f>VLOOKUP($A40,'T3_data(t)'!$A:$N,11,FALSE)</f>
        <v>0.01</v>
      </c>
      <c r="L40" s="372">
        <f>VLOOKUP($A40,'T3_data(t)'!$A:$N,12,FALSE)</f>
        <v>0.02</v>
      </c>
      <c r="M40" s="372">
        <f>VLOOKUP($A40,'T3_data(t)'!$A:$N,13,FALSE)</f>
        <v>0.01</v>
      </c>
      <c r="N40" s="372">
        <f>VLOOKUP($A40,'T3_data(t)'!$A:$N,14,FALSE)</f>
        <v>0.02</v>
      </c>
      <c r="P40" s="366" t="str">
        <f t="shared" si="13"/>
        <v>-44.8</v>
      </c>
      <c r="Q40" s="366" t="str">
        <f t="shared" si="14"/>
        <v>193.6</v>
      </c>
      <c r="R40" s="366" t="str">
        <f t="shared" si="15"/>
        <v>150.0</v>
      </c>
      <c r="S40" s="366" t="str">
        <f t="shared" si="16"/>
        <v>243.4</v>
      </c>
      <c r="T40" s="366" t="str">
        <f t="shared" si="63"/>
        <v>0.01</v>
      </c>
      <c r="U40" s="366" t="str">
        <f t="shared" si="64"/>
        <v>0.02</v>
      </c>
      <c r="V40" s="366" t="str">
        <f t="shared" si="65"/>
        <v>0.01</v>
      </c>
      <c r="W40" s="366" t="str">
        <f t="shared" si="66"/>
        <v>0.02</v>
      </c>
    </row>
    <row r="41" spans="1:28" ht="19.5" customHeight="1">
      <c r="A41" s="293" t="s">
        <v>67</v>
      </c>
      <c r="B41" s="367">
        <f>VLOOKUP($A41,'T3_data(t)'!$A:$N,2,FALSE)</f>
        <v>15483.26</v>
      </c>
      <c r="C41" s="367">
        <f>VLOOKUP($A41,'T3_data(t)'!$A:$N,3,FALSE)</f>
        <v>1332.1</v>
      </c>
      <c r="D41" s="367">
        <f>VLOOKUP($A41,'T3_data(t)'!$A:$N,4,FALSE)</f>
        <v>1509.21</v>
      </c>
      <c r="E41" s="367">
        <f>VLOOKUP($A41,'T3_data(t)'!$A:$N,5,FALSE)</f>
        <v>1508.52</v>
      </c>
      <c r="F41" s="368">
        <f>VLOOKUP($A41,'T3_data(t)'!$A:$N,6,FALSE)</f>
        <v>14069.04</v>
      </c>
      <c r="G41" s="369">
        <f>VLOOKUP($A41,'T3_data(t)'!$A:$N,7,FALSE)</f>
        <v>-3.15</v>
      </c>
      <c r="H41" s="369">
        <f>VLOOKUP($A41,'T3_data(t)'!$A:$N,8,FALSE)</f>
        <v>15.74</v>
      </c>
      <c r="I41" s="369">
        <f>VLOOKUP($A41,'T3_data(t)'!$A:$N,9,FALSE)</f>
        <v>13.24</v>
      </c>
      <c r="J41" s="369">
        <f>VLOOKUP($A41,'T3_data(t)'!$A:$N,10,FALSE)</f>
        <v>9.6999999999999993</v>
      </c>
      <c r="K41" s="369">
        <f>VLOOKUP($A41,'T3_data(t)'!$A:$N,11,FALSE)</f>
        <v>5.15</v>
      </c>
      <c r="L41" s="369">
        <f>VLOOKUP($A41,'T3_data(t)'!$A:$N,12,FALSE)</f>
        <v>4.87</v>
      </c>
      <c r="M41" s="369">
        <f>VLOOKUP($A41,'T3_data(t)'!$A:$N,13,FALSE)</f>
        <v>5.23</v>
      </c>
      <c r="N41" s="369">
        <f>VLOOKUP($A41,'T3_data(t)'!$A:$N,14,FALSE)</f>
        <v>4.97</v>
      </c>
      <c r="P41" s="366" t="str">
        <f t="shared" si="13"/>
        <v>-3.2</v>
      </c>
      <c r="Q41" s="366" t="str">
        <f t="shared" si="14"/>
        <v>15.7</v>
      </c>
      <c r="R41" s="366" t="str">
        <f t="shared" si="15"/>
        <v>13.2</v>
      </c>
      <c r="S41" s="366" t="str">
        <f t="shared" si="16"/>
        <v>9.7</v>
      </c>
      <c r="T41" s="366" t="str">
        <f t="shared" si="63"/>
        <v>5.2</v>
      </c>
      <c r="U41" s="366" t="str">
        <f t="shared" si="64"/>
        <v>4.9</v>
      </c>
      <c r="V41" s="366" t="str">
        <f t="shared" si="65"/>
        <v>5.2</v>
      </c>
      <c r="W41" s="366" t="str">
        <f t="shared" si="66"/>
        <v>5.0</v>
      </c>
    </row>
    <row r="42" spans="1:28" ht="19.5" customHeight="1">
      <c r="A42" s="293" t="s">
        <v>68</v>
      </c>
      <c r="B42" s="367">
        <f>VLOOKUP($A42,'T3_data(t)'!$A:$N,2,FALSE)</f>
        <v>10235.959999999999</v>
      </c>
      <c r="C42" s="367">
        <f>VLOOKUP($A42,'T3_data(t)'!$A:$N,3,FALSE)</f>
        <v>876.83</v>
      </c>
      <c r="D42" s="367">
        <f>VLOOKUP($A42,'T3_data(t)'!$A:$N,4,FALSE)</f>
        <v>1001.12</v>
      </c>
      <c r="E42" s="367">
        <f>VLOOKUP($A42,'T3_data(t)'!$A:$N,5,FALSE)</f>
        <v>976.05</v>
      </c>
      <c r="F42" s="368">
        <f>VLOOKUP($A42,'T3_data(t)'!$A:$N,6,FALSE)</f>
        <v>9362.36</v>
      </c>
      <c r="G42" s="369">
        <f>VLOOKUP($A42,'T3_data(t)'!$A:$N,7,FALSE)</f>
        <v>1.84</v>
      </c>
      <c r="H42" s="369">
        <f>VLOOKUP($A42,'T3_data(t)'!$A:$N,8,FALSE)</f>
        <v>13.25</v>
      </c>
      <c r="I42" s="369">
        <f>VLOOKUP($A42,'T3_data(t)'!$A:$N,9,FALSE)</f>
        <v>11.32</v>
      </c>
      <c r="J42" s="369">
        <f>VLOOKUP($A42,'T3_data(t)'!$A:$N,10,FALSE)</f>
        <v>10.47</v>
      </c>
      <c r="K42" s="369">
        <f>VLOOKUP($A42,'T3_data(t)'!$A:$N,11,FALSE)</f>
        <v>3.4</v>
      </c>
      <c r="L42" s="369">
        <f>VLOOKUP($A42,'T3_data(t)'!$A:$N,12,FALSE)</f>
        <v>3.23</v>
      </c>
      <c r="M42" s="369">
        <f>VLOOKUP($A42,'T3_data(t)'!$A:$N,13,FALSE)</f>
        <v>3.38</v>
      </c>
      <c r="N42" s="369">
        <f>VLOOKUP($A42,'T3_data(t)'!$A:$N,14,FALSE)</f>
        <v>3.31</v>
      </c>
      <c r="P42" s="366" t="str">
        <f t="shared" si="13"/>
        <v>1.8</v>
      </c>
      <c r="Q42" s="366" t="str">
        <f t="shared" si="14"/>
        <v>13.3</v>
      </c>
      <c r="R42" s="366" t="str">
        <f t="shared" si="15"/>
        <v>11.3</v>
      </c>
      <c r="S42" s="366" t="str">
        <f t="shared" si="16"/>
        <v>10.5</v>
      </c>
      <c r="T42" s="366" t="str">
        <f t="shared" si="63"/>
        <v>3.4</v>
      </c>
      <c r="U42" s="366" t="str">
        <f t="shared" si="64"/>
        <v>3.2</v>
      </c>
      <c r="V42" s="366" t="str">
        <f t="shared" si="65"/>
        <v>3.4</v>
      </c>
      <c r="W42" s="366" t="str">
        <f t="shared" si="66"/>
        <v>3.3</v>
      </c>
    </row>
    <row r="43" spans="1:28" ht="19.5" customHeight="1">
      <c r="A43" s="293" t="s">
        <v>69</v>
      </c>
      <c r="B43" s="367">
        <f>VLOOKUP($A43,'T3_data(t)'!$A:$N,2,FALSE)</f>
        <v>3640.62</v>
      </c>
      <c r="C43" s="367">
        <f>VLOOKUP($A43,'T3_data(t)'!$A:$N,3,FALSE)</f>
        <v>305.67</v>
      </c>
      <c r="D43" s="367">
        <f>VLOOKUP($A43,'T3_data(t)'!$A:$N,4,FALSE)</f>
        <v>337.84</v>
      </c>
      <c r="E43" s="367">
        <f>VLOOKUP($A43,'T3_data(t)'!$A:$N,5,FALSE)</f>
        <v>356.8</v>
      </c>
      <c r="F43" s="368">
        <f>VLOOKUP($A43,'T3_data(t)'!$A:$N,6,FALSE)</f>
        <v>3162.08</v>
      </c>
      <c r="G43" s="369">
        <f>VLOOKUP($A43,'T3_data(t)'!$A:$N,7,FALSE)</f>
        <v>-18.309999999999999</v>
      </c>
      <c r="H43" s="369">
        <f>VLOOKUP($A43,'T3_data(t)'!$A:$N,8,FALSE)</f>
        <v>17.079999999999998</v>
      </c>
      <c r="I43" s="369">
        <f>VLOOKUP($A43,'T3_data(t)'!$A:$N,9,FALSE)</f>
        <v>16.73</v>
      </c>
      <c r="J43" s="369">
        <f>VLOOKUP($A43,'T3_data(t)'!$A:$N,10,FALSE)</f>
        <v>3.89</v>
      </c>
      <c r="K43" s="369">
        <f>VLOOKUP($A43,'T3_data(t)'!$A:$N,11,FALSE)</f>
        <v>1.21</v>
      </c>
      <c r="L43" s="369">
        <f>VLOOKUP($A43,'T3_data(t)'!$A:$N,12,FALSE)</f>
        <v>1.0900000000000001</v>
      </c>
      <c r="M43" s="369">
        <f>VLOOKUP($A43,'T3_data(t)'!$A:$N,13,FALSE)</f>
        <v>1.24</v>
      </c>
      <c r="N43" s="369">
        <f>VLOOKUP($A43,'T3_data(t)'!$A:$N,14,FALSE)</f>
        <v>1.1200000000000001</v>
      </c>
      <c r="P43" s="366" t="str">
        <f t="shared" si="13"/>
        <v>-18.3</v>
      </c>
      <c r="Q43" s="366" t="str">
        <f t="shared" si="14"/>
        <v>17.1</v>
      </c>
      <c r="R43" s="366" t="str">
        <f t="shared" si="15"/>
        <v>16.7</v>
      </c>
      <c r="S43" s="366" t="str">
        <f t="shared" si="16"/>
        <v>3.9</v>
      </c>
      <c r="T43" s="366" t="str">
        <f t="shared" si="63"/>
        <v>1.2</v>
      </c>
      <c r="U43" s="366" t="str">
        <f t="shared" si="64"/>
        <v>1.1</v>
      </c>
      <c r="V43" s="366" t="str">
        <f t="shared" si="65"/>
        <v>1.2</v>
      </c>
      <c r="W43" s="366" t="str">
        <f t="shared" si="66"/>
        <v>1.1</v>
      </c>
    </row>
    <row r="44" spans="1:28" ht="19.5" customHeight="1">
      <c r="A44" s="293" t="s">
        <v>70</v>
      </c>
      <c r="B44" s="367">
        <f>VLOOKUP($A44,'T3_data(t)'!$A:$N,2,FALSE)</f>
        <v>712.47</v>
      </c>
      <c r="C44" s="367">
        <f>VLOOKUP($A44,'T3_data(t)'!$A:$N,3,FALSE)</f>
        <v>49.86</v>
      </c>
      <c r="D44" s="367">
        <f>VLOOKUP($A44,'T3_data(t)'!$A:$N,4,FALSE)</f>
        <v>63.11</v>
      </c>
      <c r="E44" s="367">
        <f>VLOOKUP($A44,'T3_data(t)'!$A:$N,5,FALSE)</f>
        <v>54.33</v>
      </c>
      <c r="F44" s="368">
        <f>VLOOKUP($A44,'T3_data(t)'!$A:$N,6,FALSE)</f>
        <v>608.83000000000004</v>
      </c>
      <c r="G44" s="369">
        <f>VLOOKUP($A44,'T3_data(t)'!$A:$N,7,FALSE)</f>
        <v>-46.68</v>
      </c>
      <c r="H44" s="369">
        <f>VLOOKUP($A44,'T3_data(t)'!$A:$N,8,FALSE)</f>
        <v>20.65</v>
      </c>
      <c r="I44" s="369">
        <f>VLOOKUP($A44,'T3_data(t)'!$A:$N,9,FALSE)</f>
        <v>8.9700000000000006</v>
      </c>
      <c r="J44" s="369">
        <f>VLOOKUP($A44,'T3_data(t)'!$A:$N,10,FALSE)</f>
        <v>-0.72</v>
      </c>
      <c r="K44" s="369">
        <f>VLOOKUP($A44,'T3_data(t)'!$A:$N,11,FALSE)</f>
        <v>0.24</v>
      </c>
      <c r="L44" s="369">
        <f>VLOOKUP($A44,'T3_data(t)'!$A:$N,12,FALSE)</f>
        <v>0.2</v>
      </c>
      <c r="M44" s="369">
        <f>VLOOKUP($A44,'T3_data(t)'!$A:$N,13,FALSE)</f>
        <v>0.19</v>
      </c>
      <c r="N44" s="369">
        <f>VLOOKUP($A44,'T3_data(t)'!$A:$N,14,FALSE)</f>
        <v>0.22</v>
      </c>
      <c r="P44" s="366" t="str">
        <f t="shared" si="13"/>
        <v>-46.7</v>
      </c>
      <c r="Q44" s="366" t="str">
        <f t="shared" si="14"/>
        <v>20.7</v>
      </c>
      <c r="R44" s="366" t="str">
        <f t="shared" si="15"/>
        <v>9.0</v>
      </c>
      <c r="S44" s="366" t="str">
        <f t="shared" si="16"/>
        <v>-0.7</v>
      </c>
      <c r="T44" s="366" t="str">
        <f t="shared" si="63"/>
        <v>0.2</v>
      </c>
      <c r="U44" s="366" t="str">
        <f t="shared" si="64"/>
        <v>0.2</v>
      </c>
      <c r="V44" s="366" t="str">
        <f t="shared" si="65"/>
        <v>0.2</v>
      </c>
      <c r="W44" s="366" t="str">
        <f t="shared" si="66"/>
        <v>0.2</v>
      </c>
    </row>
    <row r="45" spans="1:28" ht="19.5" customHeight="1">
      <c r="A45" s="293" t="s">
        <v>71</v>
      </c>
      <c r="B45" s="367">
        <f>VLOOKUP($A45,'T3_data(t)'!$A:$N,2,FALSE)</f>
        <v>52941.09</v>
      </c>
      <c r="C45" s="367">
        <f>VLOOKUP($A45,'T3_data(t)'!$A:$N,3,FALSE)</f>
        <v>4870.6000000000004</v>
      </c>
      <c r="D45" s="367">
        <f>VLOOKUP($A45,'T3_data(t)'!$A:$N,4,FALSE)</f>
        <v>7025.94</v>
      </c>
      <c r="E45" s="367">
        <f>VLOOKUP($A45,'T3_data(t)'!$A:$N,5,FALSE)</f>
        <v>6760.17</v>
      </c>
      <c r="F45" s="368">
        <f>VLOOKUP($A45,'T3_data(t)'!$A:$N,6,FALSE)</f>
        <v>59476.93</v>
      </c>
      <c r="G45" s="369">
        <f>VLOOKUP($A45,'T3_data(t)'!$A:$N,7,FALSE)</f>
        <v>14.4</v>
      </c>
      <c r="H45" s="369">
        <f>VLOOKUP($A45,'T3_data(t)'!$A:$N,8,FALSE)</f>
        <v>42.64</v>
      </c>
      <c r="I45" s="369">
        <f>VLOOKUP($A45,'T3_data(t)'!$A:$N,9,FALSE)</f>
        <v>38.799999999999997</v>
      </c>
      <c r="J45" s="369">
        <f>VLOOKUP($A45,'T3_data(t)'!$A:$N,10,FALSE)</f>
        <v>35.92</v>
      </c>
      <c r="K45" s="369">
        <f>VLOOKUP($A45,'T3_data(t)'!$A:$N,11,FALSE)</f>
        <v>17.600000000000001</v>
      </c>
      <c r="L45" s="369">
        <f>VLOOKUP($A45,'T3_data(t)'!$A:$N,12,FALSE)</f>
        <v>22.69</v>
      </c>
      <c r="M45" s="369">
        <f>VLOOKUP($A45,'T3_data(t)'!$A:$N,13,FALSE)</f>
        <v>23.44</v>
      </c>
      <c r="N45" s="369">
        <f>VLOOKUP($A45,'T3_data(t)'!$A:$N,14,FALSE)</f>
        <v>21.02</v>
      </c>
      <c r="P45" s="366" t="str">
        <f t="shared" si="13"/>
        <v>14.4</v>
      </c>
      <c r="Q45" s="366" t="str">
        <f t="shared" si="14"/>
        <v>42.6</v>
      </c>
      <c r="R45" s="366" t="str">
        <f t="shared" si="15"/>
        <v>38.8</v>
      </c>
      <c r="S45" s="366" t="str">
        <f t="shared" si="16"/>
        <v>35.9</v>
      </c>
      <c r="T45" s="366" t="str">
        <f t="shared" si="63"/>
        <v>17.6</v>
      </c>
      <c r="U45" s="366" t="str">
        <f t="shared" si="64"/>
        <v>22.7</v>
      </c>
      <c r="V45" s="366" t="str">
        <f t="shared" si="65"/>
        <v>23.4</v>
      </c>
      <c r="W45" s="366" t="str">
        <f t="shared" si="66"/>
        <v>21.0</v>
      </c>
    </row>
    <row r="46" spans="1:28" ht="19.5" customHeight="1">
      <c r="A46" s="293" t="s">
        <v>72</v>
      </c>
      <c r="B46" s="367">
        <f>VLOOKUP($A46,'T3_data(t)'!$A:$N,2,FALSE)</f>
        <v>24610.46</v>
      </c>
      <c r="C46" s="367">
        <f>VLOOKUP($A46,'T3_data(t)'!$A:$N,3,FALSE)</f>
        <v>2179.4299999999998</v>
      </c>
      <c r="D46" s="367">
        <f>VLOOKUP($A46,'T3_data(t)'!$A:$N,4,FALSE)</f>
        <v>3734.93</v>
      </c>
      <c r="E46" s="367">
        <f>VLOOKUP($A46,'T3_data(t)'!$A:$N,5,FALSE)</f>
        <v>3657.36</v>
      </c>
      <c r="F46" s="368">
        <f>VLOOKUP($A46,'T3_data(t)'!$A:$N,6,FALSE)</f>
        <v>32543.72</v>
      </c>
      <c r="G46" s="369">
        <f>VLOOKUP($A46,'T3_data(t)'!$A:$N,7,FALSE)</f>
        <v>38.11</v>
      </c>
      <c r="H46" s="369">
        <f>VLOOKUP($A46,'T3_data(t)'!$A:$N,8,FALSE)</f>
        <v>57.92</v>
      </c>
      <c r="I46" s="369">
        <f>VLOOKUP($A46,'T3_data(t)'!$A:$N,9,FALSE)</f>
        <v>67.81</v>
      </c>
      <c r="J46" s="369">
        <f>VLOOKUP($A46,'T3_data(t)'!$A:$N,10,FALSE)</f>
        <v>64.84</v>
      </c>
      <c r="K46" s="369">
        <f>VLOOKUP($A46,'T3_data(t)'!$A:$N,11,FALSE)</f>
        <v>8.18</v>
      </c>
      <c r="L46" s="369">
        <f>VLOOKUP($A46,'T3_data(t)'!$A:$N,12,FALSE)</f>
        <v>12.06</v>
      </c>
      <c r="M46" s="369">
        <f>VLOOKUP($A46,'T3_data(t)'!$A:$N,13,FALSE)</f>
        <v>12.68</v>
      </c>
      <c r="N46" s="369">
        <f>VLOOKUP($A46,'T3_data(t)'!$A:$N,14,FALSE)</f>
        <v>11.5</v>
      </c>
      <c r="P46" s="366" t="str">
        <f t="shared" si="13"/>
        <v>38.1</v>
      </c>
      <c r="Q46" s="366" t="str">
        <f t="shared" si="14"/>
        <v>57.9</v>
      </c>
      <c r="R46" s="366" t="str">
        <f t="shared" si="15"/>
        <v>67.8</v>
      </c>
      <c r="S46" s="366" t="str">
        <f t="shared" si="16"/>
        <v>64.8</v>
      </c>
      <c r="T46" s="366" t="str">
        <f t="shared" si="63"/>
        <v>8.2</v>
      </c>
      <c r="U46" s="366" t="str">
        <f t="shared" si="64"/>
        <v>12.1</v>
      </c>
      <c r="V46" s="366" t="str">
        <f t="shared" si="65"/>
        <v>12.7</v>
      </c>
      <c r="W46" s="366" t="str">
        <f t="shared" si="66"/>
        <v>11.5</v>
      </c>
    </row>
    <row r="47" spans="1:28" ht="19.5" customHeight="1">
      <c r="A47" s="293" t="s">
        <v>73</v>
      </c>
      <c r="B47" s="367">
        <f>VLOOKUP($A47,'T3_data(t)'!$A:$N,2,FALSE)</f>
        <v>10301.67</v>
      </c>
      <c r="C47" s="367">
        <f>VLOOKUP($A47,'T3_data(t)'!$A:$N,3,FALSE)</f>
        <v>887.14</v>
      </c>
      <c r="D47" s="367">
        <f>VLOOKUP($A47,'T3_data(t)'!$A:$N,4,FALSE)</f>
        <v>1017.13</v>
      </c>
      <c r="E47" s="367">
        <f>VLOOKUP($A47,'T3_data(t)'!$A:$N,5,FALSE)</f>
        <v>1023.08</v>
      </c>
      <c r="F47" s="368">
        <f>VLOOKUP($A47,'T3_data(t)'!$A:$N,6,FALSE)</f>
        <v>9827.1299999999992</v>
      </c>
      <c r="G47" s="369">
        <f>VLOOKUP($A47,'T3_data(t)'!$A:$N,7,FALSE)</f>
        <v>25.55</v>
      </c>
      <c r="H47" s="369">
        <f>VLOOKUP($A47,'T3_data(t)'!$A:$N,8,FALSE)</f>
        <v>-7.17</v>
      </c>
      <c r="I47" s="369">
        <f>VLOOKUP($A47,'T3_data(t)'!$A:$N,9,FALSE)</f>
        <v>15.32</v>
      </c>
      <c r="J47" s="369">
        <f>VLOOKUP($A47,'T3_data(t)'!$A:$N,10,FALSE)</f>
        <v>21.09</v>
      </c>
      <c r="K47" s="369">
        <f>VLOOKUP($A47,'T3_data(t)'!$A:$N,11,FALSE)</f>
        <v>3.43</v>
      </c>
      <c r="L47" s="369">
        <f>VLOOKUP($A47,'T3_data(t)'!$A:$N,12,FALSE)</f>
        <v>3.28</v>
      </c>
      <c r="M47" s="369">
        <f>VLOOKUP($A47,'T3_data(t)'!$A:$N,13,FALSE)</f>
        <v>3.55</v>
      </c>
      <c r="N47" s="369">
        <f>VLOOKUP($A47,'T3_data(t)'!$A:$N,14,FALSE)</f>
        <v>3.47</v>
      </c>
      <c r="P47" s="366" t="str">
        <f t="shared" si="13"/>
        <v>25.6</v>
      </c>
      <c r="Q47" s="366" t="str">
        <f t="shared" si="14"/>
        <v>-7.2</v>
      </c>
      <c r="R47" s="366" t="str">
        <f t="shared" si="15"/>
        <v>15.3</v>
      </c>
      <c r="S47" s="366" t="str">
        <f t="shared" si="16"/>
        <v>21.1</v>
      </c>
      <c r="T47" s="366" t="str">
        <f t="shared" si="63"/>
        <v>3.4</v>
      </c>
      <c r="U47" s="366" t="str">
        <f t="shared" si="64"/>
        <v>3.3</v>
      </c>
      <c r="V47" s="366" t="str">
        <f t="shared" si="65"/>
        <v>3.6</v>
      </c>
      <c r="W47" s="366" t="str">
        <f t="shared" si="66"/>
        <v>3.5</v>
      </c>
    </row>
    <row r="48" spans="1:28" ht="19.5" customHeight="1">
      <c r="A48" s="293" t="s">
        <v>74</v>
      </c>
      <c r="B48" s="367">
        <f>VLOOKUP($A48,'T3_data(t)'!$A:$N,2,FALSE)</f>
        <v>8687.48</v>
      </c>
      <c r="C48" s="367">
        <f>VLOOKUP($A48,'T3_data(t)'!$A:$N,3,FALSE)</f>
        <v>764.75</v>
      </c>
      <c r="D48" s="367">
        <f>VLOOKUP($A48,'T3_data(t)'!$A:$N,4,FALSE)</f>
        <v>910.43</v>
      </c>
      <c r="E48" s="367">
        <f>VLOOKUP($A48,'T3_data(t)'!$A:$N,5,FALSE)</f>
        <v>847.54</v>
      </c>
      <c r="F48" s="368">
        <f>VLOOKUP($A48,'T3_data(t)'!$A:$N,6,FALSE)</f>
        <v>9323.7800000000007</v>
      </c>
      <c r="G48" s="369">
        <f>VLOOKUP($A48,'T3_data(t)'!$A:$N,7,FALSE)</f>
        <v>-10.45</v>
      </c>
      <c r="H48" s="369">
        <f>VLOOKUP($A48,'T3_data(t)'!$A:$N,8,FALSE)</f>
        <v>8.0500000000000007</v>
      </c>
      <c r="I48" s="369">
        <f>VLOOKUP($A48,'T3_data(t)'!$A:$N,9,FALSE)</f>
        <v>10.83</v>
      </c>
      <c r="J48" s="369">
        <f>VLOOKUP($A48,'T3_data(t)'!$A:$N,10,FALSE)</f>
        <v>30.49</v>
      </c>
      <c r="K48" s="369">
        <f>VLOOKUP($A48,'T3_data(t)'!$A:$N,11,FALSE)</f>
        <v>2.89</v>
      </c>
      <c r="L48" s="369">
        <f>VLOOKUP($A48,'T3_data(t)'!$A:$N,12,FALSE)</f>
        <v>2.94</v>
      </c>
      <c r="M48" s="369">
        <f>VLOOKUP($A48,'T3_data(t)'!$A:$N,13,FALSE)</f>
        <v>2.94</v>
      </c>
      <c r="N48" s="369">
        <f>VLOOKUP($A48,'T3_data(t)'!$A:$N,14,FALSE)</f>
        <v>3.29</v>
      </c>
      <c r="P48" s="366" t="str">
        <f t="shared" si="13"/>
        <v>-10.5</v>
      </c>
      <c r="Q48" s="366" t="str">
        <f t="shared" si="14"/>
        <v>8.1</v>
      </c>
      <c r="R48" s="366" t="str">
        <f t="shared" si="15"/>
        <v>10.8</v>
      </c>
      <c r="S48" s="366" t="str">
        <f t="shared" si="16"/>
        <v>30.5</v>
      </c>
      <c r="T48" s="366" t="str">
        <f t="shared" si="63"/>
        <v>2.9</v>
      </c>
      <c r="U48" s="366" t="str">
        <f t="shared" si="64"/>
        <v>2.9</v>
      </c>
      <c r="V48" s="366" t="str">
        <f t="shared" si="65"/>
        <v>2.9</v>
      </c>
      <c r="W48" s="366" t="str">
        <f t="shared" si="66"/>
        <v>3.3</v>
      </c>
    </row>
    <row r="49" spans="1:23" ht="19.5" customHeight="1">
      <c r="A49" s="293" t="s">
        <v>75</v>
      </c>
      <c r="B49" s="367">
        <f>VLOOKUP($A49,'T3_data(t)'!$A:$N,2,FALSE)</f>
        <v>3708.36</v>
      </c>
      <c r="C49" s="367">
        <f>VLOOKUP($A49,'T3_data(t)'!$A:$N,3,FALSE)</f>
        <v>294.85000000000002</v>
      </c>
      <c r="D49" s="367">
        <f>VLOOKUP($A49,'T3_data(t)'!$A:$N,4,FALSE)</f>
        <v>220.11</v>
      </c>
      <c r="E49" s="367">
        <f>VLOOKUP($A49,'T3_data(t)'!$A:$N,5,FALSE)</f>
        <v>273.06</v>
      </c>
      <c r="F49" s="368">
        <f>VLOOKUP($A49,'T3_data(t)'!$A:$N,6,FALSE)</f>
        <v>2247.7800000000002</v>
      </c>
      <c r="G49" s="369">
        <f>VLOOKUP($A49,'T3_data(t)'!$A:$N,7,FALSE)</f>
        <v>-29.22</v>
      </c>
      <c r="H49" s="369">
        <f>VLOOKUP($A49,'T3_data(t)'!$A:$N,8,FALSE)</f>
        <v>-16.32</v>
      </c>
      <c r="I49" s="369">
        <f>VLOOKUP($A49,'T3_data(t)'!$A:$N,9,FALSE)</f>
        <v>-7.39</v>
      </c>
      <c r="J49" s="369">
        <f>VLOOKUP($A49,'T3_data(t)'!$A:$N,10,FALSE)</f>
        <v>-35.18</v>
      </c>
      <c r="K49" s="369">
        <f>VLOOKUP($A49,'T3_data(t)'!$A:$N,11,FALSE)</f>
        <v>1.23</v>
      </c>
      <c r="L49" s="369">
        <f>VLOOKUP($A49,'T3_data(t)'!$A:$N,12,FALSE)</f>
        <v>0.71</v>
      </c>
      <c r="M49" s="369">
        <f>VLOOKUP($A49,'T3_data(t)'!$A:$N,13,FALSE)</f>
        <v>0.95</v>
      </c>
      <c r="N49" s="369">
        <f>VLOOKUP($A49,'T3_data(t)'!$A:$N,14,FALSE)</f>
        <v>0.79</v>
      </c>
      <c r="P49" s="366" t="str">
        <f t="shared" si="13"/>
        <v>-29.2</v>
      </c>
      <c r="Q49" s="366" t="str">
        <f t="shared" si="14"/>
        <v>-16.3</v>
      </c>
      <c r="R49" s="366" t="str">
        <f t="shared" si="15"/>
        <v>-7.4</v>
      </c>
      <c r="S49" s="366" t="str">
        <f t="shared" si="16"/>
        <v>-35.2</v>
      </c>
      <c r="T49" s="366" t="str">
        <f t="shared" si="63"/>
        <v>1.2</v>
      </c>
      <c r="U49" s="366" t="str">
        <f t="shared" si="64"/>
        <v>0.7</v>
      </c>
      <c r="V49" s="366" t="str">
        <f t="shared" si="65"/>
        <v>1.0</v>
      </c>
      <c r="W49" s="366" t="str">
        <f t="shared" si="66"/>
        <v>0.8</v>
      </c>
    </row>
    <row r="50" spans="1:23" ht="19.5" customHeight="1">
      <c r="A50" s="293" t="s">
        <v>76</v>
      </c>
      <c r="B50" s="367">
        <f>VLOOKUP($A50,'T3_data(t)'!$A:$N,2,FALSE)</f>
        <v>15934.8</v>
      </c>
      <c r="C50" s="367">
        <f>VLOOKUP($A50,'T3_data(t)'!$A:$N,3,FALSE)</f>
        <v>1631.56</v>
      </c>
      <c r="D50" s="367">
        <f>VLOOKUP($A50,'T3_data(t)'!$A:$N,4,FALSE)</f>
        <v>2160.4699999999998</v>
      </c>
      <c r="E50" s="367">
        <f>VLOOKUP($A50,'T3_data(t)'!$A:$N,5,FALSE)</f>
        <v>1982.21</v>
      </c>
      <c r="F50" s="368">
        <f>VLOOKUP($A50,'T3_data(t)'!$A:$N,6,FALSE)</f>
        <v>15361.65</v>
      </c>
      <c r="G50" s="369">
        <f>VLOOKUP($A50,'T3_data(t)'!$A:$N,7,FALSE)</f>
        <v>17.88</v>
      </c>
      <c r="H50" s="369">
        <f>VLOOKUP($A50,'T3_data(t)'!$A:$N,8,FALSE)</f>
        <v>48.51</v>
      </c>
      <c r="I50" s="369">
        <f>VLOOKUP($A50,'T3_data(t)'!$A:$N,9,FALSE)</f>
        <v>21.49</v>
      </c>
      <c r="J50" s="369">
        <f>VLOOKUP($A50,'T3_data(t)'!$A:$N,10,FALSE)</f>
        <v>14.63</v>
      </c>
      <c r="K50" s="369">
        <f>VLOOKUP($A50,'T3_data(t)'!$A:$N,11,FALSE)</f>
        <v>5.3</v>
      </c>
      <c r="L50" s="369">
        <f>VLOOKUP($A50,'T3_data(t)'!$A:$N,12,FALSE)</f>
        <v>6.98</v>
      </c>
      <c r="M50" s="369">
        <f>VLOOKUP($A50,'T3_data(t)'!$A:$N,13,FALSE)</f>
        <v>6.87</v>
      </c>
      <c r="N50" s="369">
        <f>VLOOKUP($A50,'T3_data(t)'!$A:$N,14,FALSE)</f>
        <v>5.43</v>
      </c>
      <c r="P50" s="366" t="str">
        <f t="shared" si="13"/>
        <v>17.9</v>
      </c>
      <c r="Q50" s="366" t="str">
        <f t="shared" si="14"/>
        <v>48.5</v>
      </c>
      <c r="R50" s="366" t="str">
        <f t="shared" si="15"/>
        <v>21.5</v>
      </c>
      <c r="S50" s="366" t="str">
        <f t="shared" si="16"/>
        <v>14.6</v>
      </c>
      <c r="T50" s="366" t="str">
        <f t="shared" si="63"/>
        <v>5.3</v>
      </c>
      <c r="U50" s="366" t="str">
        <f t="shared" si="64"/>
        <v>7.0</v>
      </c>
      <c r="V50" s="366" t="str">
        <f t="shared" si="65"/>
        <v>6.9</v>
      </c>
      <c r="W50" s="366" t="str">
        <f t="shared" si="66"/>
        <v>5.4</v>
      </c>
    </row>
    <row r="51" spans="1:23" ht="19.5" customHeight="1">
      <c r="A51" s="293" t="s">
        <v>77</v>
      </c>
      <c r="B51" s="367">
        <f>VLOOKUP($A51,'T3_data(t)'!$A:$N,2,FALSE)</f>
        <v>29520.9</v>
      </c>
      <c r="C51" s="367">
        <f>VLOOKUP($A51,'T3_data(t)'!$A:$N,3,FALSE)</f>
        <v>2461.84</v>
      </c>
      <c r="D51" s="367">
        <f>VLOOKUP($A51,'T3_data(t)'!$A:$N,4,FALSE)</f>
        <v>2799.65</v>
      </c>
      <c r="E51" s="367">
        <f>VLOOKUP($A51,'T3_data(t)'!$A:$N,5,FALSE)</f>
        <v>2773.9</v>
      </c>
      <c r="F51" s="368">
        <f>VLOOKUP($A51,'T3_data(t)'!$A:$N,6,FALSE)</f>
        <v>27207.56</v>
      </c>
      <c r="G51" s="369">
        <f>VLOOKUP($A51,'T3_data(t)'!$A:$N,7,FALSE)</f>
        <v>3.02</v>
      </c>
      <c r="H51" s="369">
        <f>VLOOKUP($A51,'T3_data(t)'!$A:$N,8,FALSE)</f>
        <v>7.84</v>
      </c>
      <c r="I51" s="369">
        <f>VLOOKUP($A51,'T3_data(t)'!$A:$N,9,FALSE)</f>
        <v>12.68</v>
      </c>
      <c r="J51" s="369">
        <f>VLOOKUP($A51,'T3_data(t)'!$A:$N,10,FALSE)</f>
        <v>11.01</v>
      </c>
      <c r="K51" s="369">
        <f>VLOOKUP($A51,'T3_data(t)'!$A:$N,11,FALSE)</f>
        <v>9.82</v>
      </c>
      <c r="L51" s="369">
        <f>VLOOKUP($A51,'T3_data(t)'!$A:$N,12,FALSE)</f>
        <v>9.0399999999999991</v>
      </c>
      <c r="M51" s="369">
        <f>VLOOKUP($A51,'T3_data(t)'!$A:$N,13,FALSE)</f>
        <v>9.6199999999999992</v>
      </c>
      <c r="N51" s="369">
        <f>VLOOKUP($A51,'T3_data(t)'!$A:$N,14,FALSE)</f>
        <v>9.61</v>
      </c>
      <c r="P51" s="366" t="str">
        <f t="shared" si="13"/>
        <v>3.0</v>
      </c>
      <c r="Q51" s="366" t="str">
        <f t="shared" si="14"/>
        <v>7.8</v>
      </c>
      <c r="R51" s="366" t="str">
        <f t="shared" si="15"/>
        <v>12.7</v>
      </c>
      <c r="S51" s="366" t="str">
        <f t="shared" si="16"/>
        <v>11.0</v>
      </c>
      <c r="T51" s="366" t="str">
        <f t="shared" si="63"/>
        <v>9.8</v>
      </c>
      <c r="U51" s="366" t="str">
        <f t="shared" si="64"/>
        <v>9.0</v>
      </c>
      <c r="V51" s="366" t="str">
        <f t="shared" si="65"/>
        <v>9.6</v>
      </c>
      <c r="W51" s="366" t="str">
        <f t="shared" si="66"/>
        <v>9.6</v>
      </c>
    </row>
    <row r="52" spans="1:23" ht="19.5" customHeight="1">
      <c r="A52" s="293" t="s">
        <v>78</v>
      </c>
      <c r="B52" s="367">
        <f>VLOOKUP($A52,'T3_data(t)'!$A:$N,2,FALSE)</f>
        <v>6888.19</v>
      </c>
      <c r="C52" s="367">
        <f>VLOOKUP($A52,'T3_data(t)'!$A:$N,3,FALSE)</f>
        <v>500.24</v>
      </c>
      <c r="D52" s="367">
        <f>VLOOKUP($A52,'T3_data(t)'!$A:$N,4,FALSE)</f>
        <v>491.31</v>
      </c>
      <c r="E52" s="367">
        <f>VLOOKUP($A52,'T3_data(t)'!$A:$N,5,FALSE)</f>
        <v>485.51</v>
      </c>
      <c r="F52" s="368">
        <f>VLOOKUP($A52,'T3_data(t)'!$A:$N,6,FALSE)</f>
        <v>6335.2</v>
      </c>
      <c r="G52" s="369">
        <f>VLOOKUP($A52,'T3_data(t)'!$A:$N,7,FALSE)</f>
        <v>5.95</v>
      </c>
      <c r="H52" s="369">
        <f>VLOOKUP($A52,'T3_data(t)'!$A:$N,8,FALSE)</f>
        <v>-5.86</v>
      </c>
      <c r="I52" s="369">
        <f>VLOOKUP($A52,'T3_data(t)'!$A:$N,9,FALSE)</f>
        <v>-2.94</v>
      </c>
      <c r="J52" s="369">
        <f>VLOOKUP($A52,'T3_data(t)'!$A:$N,10,FALSE)</f>
        <v>10.06</v>
      </c>
      <c r="K52" s="369">
        <f>VLOOKUP($A52,'T3_data(t)'!$A:$N,11,FALSE)</f>
        <v>2.29</v>
      </c>
      <c r="L52" s="369">
        <f>VLOOKUP($A52,'T3_data(t)'!$A:$N,12,FALSE)</f>
        <v>1.59</v>
      </c>
      <c r="M52" s="369">
        <f>VLOOKUP($A52,'T3_data(t)'!$A:$N,13,FALSE)</f>
        <v>1.68</v>
      </c>
      <c r="N52" s="369">
        <f>VLOOKUP($A52,'T3_data(t)'!$A:$N,14,FALSE)</f>
        <v>2.2400000000000002</v>
      </c>
      <c r="P52" s="366" t="str">
        <f t="shared" si="13"/>
        <v>6.0</v>
      </c>
      <c r="Q52" s="366" t="str">
        <f t="shared" si="14"/>
        <v>-5.9</v>
      </c>
      <c r="R52" s="366" t="str">
        <f t="shared" si="15"/>
        <v>-2.9</v>
      </c>
      <c r="S52" s="366" t="str">
        <f t="shared" si="16"/>
        <v>10.1</v>
      </c>
      <c r="T52" s="366" t="str">
        <f t="shared" si="63"/>
        <v>2.3</v>
      </c>
      <c r="U52" s="366" t="str">
        <f t="shared" si="64"/>
        <v>1.6</v>
      </c>
      <c r="V52" s="366" t="str">
        <f t="shared" si="65"/>
        <v>1.7</v>
      </c>
      <c r="W52" s="366" t="str">
        <f t="shared" si="66"/>
        <v>2.2</v>
      </c>
    </row>
    <row r="53" spans="1:23" ht="19.5" customHeight="1">
      <c r="A53" s="293" t="s">
        <v>79</v>
      </c>
      <c r="B53" s="367">
        <f>VLOOKUP($A53,'T3_data(t)'!$A:$N,2,FALSE)</f>
        <v>2905.3</v>
      </c>
      <c r="C53" s="367">
        <f>VLOOKUP($A53,'T3_data(t)'!$A:$N,3,FALSE)</f>
        <v>240.73</v>
      </c>
      <c r="D53" s="367">
        <f>VLOOKUP($A53,'T3_data(t)'!$A:$N,4,FALSE)</f>
        <v>205.73</v>
      </c>
      <c r="E53" s="367">
        <f>VLOOKUP($A53,'T3_data(t)'!$A:$N,5,FALSE)</f>
        <v>207.73</v>
      </c>
      <c r="F53" s="368">
        <f>VLOOKUP($A53,'T3_data(t)'!$A:$N,6,FALSE)</f>
        <v>2140.6</v>
      </c>
      <c r="G53" s="369">
        <f>VLOOKUP($A53,'T3_data(t)'!$A:$N,7,FALSE)</f>
        <v>-5</v>
      </c>
      <c r="H53" s="369">
        <f>VLOOKUP($A53,'T3_data(t)'!$A:$N,8,FALSE)</f>
        <v>-16.989999999999998</v>
      </c>
      <c r="I53" s="369">
        <f>VLOOKUP($A53,'T3_data(t)'!$A:$N,9,FALSE)</f>
        <v>-13.71</v>
      </c>
      <c r="J53" s="369">
        <f>VLOOKUP($A53,'T3_data(t)'!$A:$N,10,FALSE)</f>
        <v>-11.46</v>
      </c>
      <c r="K53" s="369">
        <f>VLOOKUP($A53,'T3_data(t)'!$A:$N,11,FALSE)</f>
        <v>0.97</v>
      </c>
      <c r="L53" s="369">
        <f>VLOOKUP($A53,'T3_data(t)'!$A:$N,12,FALSE)</f>
        <v>0.66</v>
      </c>
      <c r="M53" s="369">
        <f>VLOOKUP($A53,'T3_data(t)'!$A:$N,13,FALSE)</f>
        <v>0.72</v>
      </c>
      <c r="N53" s="369">
        <f>VLOOKUP($A53,'T3_data(t)'!$A:$N,14,FALSE)</f>
        <v>0.76</v>
      </c>
      <c r="P53" s="366" t="str">
        <f t="shared" si="13"/>
        <v>-5.0</v>
      </c>
      <c r="Q53" s="366" t="str">
        <f t="shared" si="14"/>
        <v>-17.0</v>
      </c>
      <c r="R53" s="366" t="str">
        <f t="shared" si="15"/>
        <v>-13.7</v>
      </c>
      <c r="S53" s="366" t="str">
        <f t="shared" si="16"/>
        <v>-11.5</v>
      </c>
      <c r="T53" s="366" t="str">
        <f t="shared" si="63"/>
        <v>1.0</v>
      </c>
      <c r="U53" s="366" t="str">
        <f t="shared" si="64"/>
        <v>0.7</v>
      </c>
      <c r="V53" s="366" t="str">
        <f t="shared" si="65"/>
        <v>0.7</v>
      </c>
      <c r="W53" s="366" t="str">
        <f t="shared" si="66"/>
        <v>0.8</v>
      </c>
    </row>
    <row r="54" spans="1:23" ht="19.5" customHeight="1">
      <c r="A54" s="293" t="s">
        <v>80</v>
      </c>
      <c r="B54" s="367">
        <f>VLOOKUP($A54,'T3_data(t)'!$A:$N,2,FALSE)</f>
        <v>2169.59</v>
      </c>
      <c r="C54" s="367">
        <f>VLOOKUP($A54,'T3_data(t)'!$A:$N,3,FALSE)</f>
        <v>191.78</v>
      </c>
      <c r="D54" s="367">
        <f>VLOOKUP($A54,'T3_data(t)'!$A:$N,4,FALSE)</f>
        <v>209.79</v>
      </c>
      <c r="E54" s="367">
        <f>VLOOKUP($A54,'T3_data(t)'!$A:$N,5,FALSE)</f>
        <v>195.92</v>
      </c>
      <c r="F54" s="368">
        <f>VLOOKUP($A54,'T3_data(t)'!$A:$N,6,FALSE)</f>
        <v>1971.83</v>
      </c>
      <c r="G54" s="369">
        <f>VLOOKUP($A54,'T3_data(t)'!$A:$N,7,FALSE)</f>
        <v>4.82</v>
      </c>
      <c r="H54" s="369">
        <f>VLOOKUP($A54,'T3_data(t)'!$A:$N,8,FALSE)</f>
        <v>9.35</v>
      </c>
      <c r="I54" s="369">
        <f>VLOOKUP($A54,'T3_data(t)'!$A:$N,9,FALSE)</f>
        <v>2.16</v>
      </c>
      <c r="J54" s="369">
        <f>VLOOKUP($A54,'T3_data(t)'!$A:$N,10,FALSE)</f>
        <v>7.04</v>
      </c>
      <c r="K54" s="369">
        <f>VLOOKUP($A54,'T3_data(t)'!$A:$N,11,FALSE)</f>
        <v>0.72</v>
      </c>
      <c r="L54" s="369">
        <f>VLOOKUP($A54,'T3_data(t)'!$A:$N,12,FALSE)</f>
        <v>0.68</v>
      </c>
      <c r="M54" s="369">
        <f>VLOOKUP($A54,'T3_data(t)'!$A:$N,13,FALSE)</f>
        <v>0.68</v>
      </c>
      <c r="N54" s="369">
        <f>VLOOKUP($A54,'T3_data(t)'!$A:$N,14,FALSE)</f>
        <v>0.7</v>
      </c>
      <c r="P54" s="366" t="str">
        <f t="shared" si="13"/>
        <v>4.8</v>
      </c>
      <c r="Q54" s="366" t="str">
        <f t="shared" si="14"/>
        <v>9.4</v>
      </c>
      <c r="R54" s="366" t="str">
        <f t="shared" si="15"/>
        <v>2.2</v>
      </c>
      <c r="S54" s="366" t="str">
        <f t="shared" si="16"/>
        <v>7.0</v>
      </c>
      <c r="T54" s="366" t="str">
        <f t="shared" si="63"/>
        <v>0.7</v>
      </c>
      <c r="U54" s="366" t="str">
        <f t="shared" si="64"/>
        <v>0.7</v>
      </c>
      <c r="V54" s="366" t="str">
        <f t="shared" si="65"/>
        <v>0.7</v>
      </c>
      <c r="W54" s="366" t="str">
        <f t="shared" si="66"/>
        <v>0.7</v>
      </c>
    </row>
    <row r="55" spans="1:23" ht="19.5" customHeight="1">
      <c r="A55" s="293" t="s">
        <v>81</v>
      </c>
      <c r="B55" s="367">
        <f>VLOOKUP($A55,'T3_data(t)'!$A:$N,2,FALSE)</f>
        <v>3215.03</v>
      </c>
      <c r="C55" s="367">
        <f>VLOOKUP($A55,'T3_data(t)'!$A:$N,3,FALSE)</f>
        <v>251.42</v>
      </c>
      <c r="D55" s="367">
        <f>VLOOKUP($A55,'T3_data(t)'!$A:$N,4,FALSE)</f>
        <v>405.04</v>
      </c>
      <c r="E55" s="367">
        <f>VLOOKUP($A55,'T3_data(t)'!$A:$N,5,FALSE)</f>
        <v>375.04</v>
      </c>
      <c r="F55" s="368">
        <f>VLOOKUP($A55,'T3_data(t)'!$A:$N,6,FALSE)</f>
        <v>3364.99</v>
      </c>
      <c r="G55" s="369">
        <f>VLOOKUP($A55,'T3_data(t)'!$A:$N,7,FALSE)</f>
        <v>19.350000000000001</v>
      </c>
      <c r="H55" s="369">
        <f>VLOOKUP($A55,'T3_data(t)'!$A:$N,8,FALSE)</f>
        <v>25.1</v>
      </c>
      <c r="I55" s="369">
        <f>VLOOKUP($A55,'T3_data(t)'!$A:$N,9,FALSE)</f>
        <v>49.17</v>
      </c>
      <c r="J55" s="369">
        <f>VLOOKUP($A55,'T3_data(t)'!$A:$N,10,FALSE)</f>
        <v>29.35</v>
      </c>
      <c r="K55" s="369">
        <f>VLOOKUP($A55,'T3_data(t)'!$A:$N,11,FALSE)</f>
        <v>1.07</v>
      </c>
      <c r="L55" s="369">
        <f>VLOOKUP($A55,'T3_data(t)'!$A:$N,12,FALSE)</f>
        <v>1.31</v>
      </c>
      <c r="M55" s="369">
        <f>VLOOKUP($A55,'T3_data(t)'!$A:$N,13,FALSE)</f>
        <v>1.3</v>
      </c>
      <c r="N55" s="369">
        <f>VLOOKUP($A55,'T3_data(t)'!$A:$N,14,FALSE)</f>
        <v>1.19</v>
      </c>
      <c r="P55" s="366" t="str">
        <f t="shared" si="13"/>
        <v>19.4</v>
      </c>
      <c r="Q55" s="366" t="str">
        <f t="shared" si="14"/>
        <v>25.1</v>
      </c>
      <c r="R55" s="366" t="str">
        <f t="shared" si="15"/>
        <v>49.2</v>
      </c>
      <c r="S55" s="366" t="str">
        <f t="shared" si="16"/>
        <v>29.4</v>
      </c>
      <c r="T55" s="366" t="str">
        <f t="shared" si="63"/>
        <v>1.1</v>
      </c>
      <c r="U55" s="366" t="str">
        <f t="shared" si="64"/>
        <v>1.3</v>
      </c>
      <c r="V55" s="366" t="str">
        <f t="shared" si="65"/>
        <v>1.3</v>
      </c>
      <c r="W55" s="366" t="str">
        <f t="shared" si="66"/>
        <v>1.2</v>
      </c>
    </row>
    <row r="56" spans="1:23" ht="19.5" customHeight="1">
      <c r="A56" s="293" t="s">
        <v>82</v>
      </c>
      <c r="B56" s="367">
        <f>VLOOKUP($A56,'T3_data(t)'!$A:$N,2,FALSE)</f>
        <v>18429.099999999999</v>
      </c>
      <c r="C56" s="367">
        <f>VLOOKUP($A56,'T3_data(t)'!$A:$N,3,FALSE)</f>
        <v>2971.74</v>
      </c>
      <c r="D56" s="367">
        <f>VLOOKUP($A56,'T3_data(t)'!$A:$N,4,FALSE)</f>
        <v>3807.61</v>
      </c>
      <c r="E56" s="367">
        <f>VLOOKUP($A56,'T3_data(t)'!$A:$N,5,FALSE)</f>
        <v>1445.71</v>
      </c>
      <c r="F56" s="368">
        <f>VLOOKUP($A56,'T3_data(t)'!$A:$N,6,FALSE)</f>
        <v>23167.86</v>
      </c>
      <c r="G56" s="369">
        <f>VLOOKUP($A56,'T3_data(t)'!$A:$N,7,FALSE)</f>
        <v>24.63</v>
      </c>
      <c r="H56" s="369">
        <f>VLOOKUP($A56,'T3_data(t)'!$A:$N,8,FALSE)</f>
        <v>88.81</v>
      </c>
      <c r="I56" s="369">
        <f>VLOOKUP($A56,'T3_data(t)'!$A:$N,9,FALSE)</f>
        <v>-51.35</v>
      </c>
      <c r="J56" s="369">
        <f>VLOOKUP($A56,'T3_data(t)'!$A:$N,10,FALSE)</f>
        <v>50.26</v>
      </c>
      <c r="K56" s="369">
        <f>VLOOKUP($A56,'T3_data(t)'!$A:$N,11,FALSE)</f>
        <v>6.13</v>
      </c>
      <c r="L56" s="369">
        <f>VLOOKUP($A56,'T3_data(t)'!$A:$N,12,FALSE)</f>
        <v>12.29</v>
      </c>
      <c r="M56" s="369">
        <f>VLOOKUP($A56,'T3_data(t)'!$A:$N,13,FALSE)</f>
        <v>5.01</v>
      </c>
      <c r="N56" s="369">
        <f>VLOOKUP($A56,'T3_data(t)'!$A:$N,14,FALSE)</f>
        <v>8.19</v>
      </c>
      <c r="P56" s="366" t="str">
        <f t="shared" si="13"/>
        <v>24.6</v>
      </c>
      <c r="Q56" s="366" t="str">
        <f t="shared" si="14"/>
        <v>88.8</v>
      </c>
      <c r="R56" s="366" t="str">
        <f t="shared" si="15"/>
        <v>-51.4</v>
      </c>
      <c r="S56" s="366" t="str">
        <f t="shared" si="16"/>
        <v>50.3</v>
      </c>
      <c r="T56" s="366" t="str">
        <f t="shared" si="63"/>
        <v>6.1</v>
      </c>
      <c r="U56" s="366" t="str">
        <f t="shared" si="64"/>
        <v>12.3</v>
      </c>
      <c r="V56" s="366" t="str">
        <f t="shared" si="65"/>
        <v>5.0</v>
      </c>
      <c r="W56" s="366" t="str">
        <f t="shared" si="66"/>
        <v>8.2</v>
      </c>
    </row>
    <row r="57" spans="1:23" ht="19.5" customHeight="1">
      <c r="A57" s="293" t="s">
        <v>83</v>
      </c>
      <c r="B57" s="367">
        <f>VLOOKUP($A57,'T3_data(t)'!$A:$N,2,FALSE)</f>
        <v>8757.92</v>
      </c>
      <c r="C57" s="367">
        <f>VLOOKUP($A57,'T3_data(t)'!$A:$N,3,FALSE)</f>
        <v>2231.85</v>
      </c>
      <c r="D57" s="367">
        <f>VLOOKUP($A57,'T3_data(t)'!$A:$N,4,FALSE)</f>
        <v>2316.58</v>
      </c>
      <c r="E57" s="367">
        <f>VLOOKUP($A57,'T3_data(t)'!$A:$N,5,FALSE)</f>
        <v>515.17999999999995</v>
      </c>
      <c r="F57" s="368">
        <f>VLOOKUP($A57,'T3_data(t)'!$A:$N,6,FALSE)</f>
        <v>11565.15</v>
      </c>
      <c r="G57" s="369">
        <f>VLOOKUP($A57,'T3_data(t)'!$A:$N,7,FALSE)</f>
        <v>46.48</v>
      </c>
      <c r="H57" s="369">
        <f>VLOOKUP($A57,'T3_data(t)'!$A:$N,8,FALSE)</f>
        <v>212.56</v>
      </c>
      <c r="I57" s="369">
        <f>VLOOKUP($A57,'T3_data(t)'!$A:$N,9,FALSE)</f>
        <v>-76.92</v>
      </c>
      <c r="J57" s="369">
        <f>VLOOKUP($A57,'T3_data(t)'!$A:$N,10,FALSE)</f>
        <v>51.64</v>
      </c>
      <c r="K57" s="369">
        <f>VLOOKUP($A57,'T3_data(t)'!$A:$N,11,FALSE)</f>
        <v>2.91</v>
      </c>
      <c r="L57" s="369">
        <f>VLOOKUP($A57,'T3_data(t)'!$A:$N,12,FALSE)</f>
        <v>7.48</v>
      </c>
      <c r="M57" s="369">
        <f>VLOOKUP($A57,'T3_data(t)'!$A:$N,13,FALSE)</f>
        <v>1.79</v>
      </c>
      <c r="N57" s="369">
        <f>VLOOKUP($A57,'T3_data(t)'!$A:$N,14,FALSE)</f>
        <v>4.09</v>
      </c>
      <c r="P57" s="366" t="str">
        <f t="shared" si="13"/>
        <v>46.5</v>
      </c>
      <c r="Q57" s="366" t="str">
        <f t="shared" si="14"/>
        <v>212.6</v>
      </c>
      <c r="R57" s="366" t="str">
        <f t="shared" si="15"/>
        <v>-76.9</v>
      </c>
      <c r="S57" s="366" t="str">
        <f t="shared" si="16"/>
        <v>51.6</v>
      </c>
      <c r="T57" s="366" t="str">
        <f t="shared" si="63"/>
        <v>2.9</v>
      </c>
      <c r="U57" s="366" t="str">
        <f t="shared" si="64"/>
        <v>7.5</v>
      </c>
      <c r="V57" s="366" t="str">
        <f t="shared" si="65"/>
        <v>1.8</v>
      </c>
      <c r="W57" s="366" t="str">
        <f t="shared" si="66"/>
        <v>4.1</v>
      </c>
    </row>
    <row r="58" spans="1:23" ht="19.5" customHeight="1">
      <c r="A58" s="293" t="s">
        <v>84</v>
      </c>
      <c r="B58" s="367">
        <f>VLOOKUP($A58,'T3_data(t)'!$A:$N,2,FALSE)</f>
        <v>9671.18</v>
      </c>
      <c r="C58" s="367">
        <f>VLOOKUP($A58,'T3_data(t)'!$A:$N,3,FALSE)</f>
        <v>739.89</v>
      </c>
      <c r="D58" s="367">
        <f>VLOOKUP($A58,'T3_data(t)'!$A:$N,4,FALSE)</f>
        <v>1491.03</v>
      </c>
      <c r="E58" s="367">
        <f>VLOOKUP($A58,'T3_data(t)'!$A:$N,5,FALSE)</f>
        <v>930.53</v>
      </c>
      <c r="F58" s="368">
        <f>VLOOKUP($A58,'T3_data(t)'!$A:$N,6,FALSE)</f>
        <v>11602.71</v>
      </c>
      <c r="G58" s="369">
        <f>VLOOKUP($A58,'T3_data(t)'!$A:$N,7,FALSE)</f>
        <v>9.8000000000000007</v>
      </c>
      <c r="H58" s="369">
        <f>VLOOKUP($A58,'T3_data(t)'!$A:$N,8,FALSE)</f>
        <v>16.899999999999999</v>
      </c>
      <c r="I58" s="369">
        <f>VLOOKUP($A58,'T3_data(t)'!$A:$N,9,FALSE)</f>
        <v>25.77</v>
      </c>
      <c r="J58" s="369">
        <f>VLOOKUP($A58,'T3_data(t)'!$A:$N,10,FALSE)</f>
        <v>48.9</v>
      </c>
      <c r="K58" s="369">
        <f>VLOOKUP($A58,'T3_data(t)'!$A:$N,11,FALSE)</f>
        <v>3.22</v>
      </c>
      <c r="L58" s="369">
        <f>VLOOKUP($A58,'T3_data(t)'!$A:$N,12,FALSE)</f>
        <v>4.8099999999999996</v>
      </c>
      <c r="M58" s="369">
        <f>VLOOKUP($A58,'T3_data(t)'!$A:$N,13,FALSE)</f>
        <v>3.23</v>
      </c>
      <c r="N58" s="369">
        <f>VLOOKUP($A58,'T3_data(t)'!$A:$N,14,FALSE)</f>
        <v>4.0999999999999996</v>
      </c>
      <c r="P58" s="366" t="str">
        <f t="shared" si="13"/>
        <v>9.8</v>
      </c>
      <c r="Q58" s="366" t="str">
        <f t="shared" si="14"/>
        <v>16.9</v>
      </c>
      <c r="R58" s="366" t="str">
        <f t="shared" si="15"/>
        <v>25.8</v>
      </c>
      <c r="S58" s="366" t="str">
        <f t="shared" si="16"/>
        <v>48.9</v>
      </c>
      <c r="T58" s="366" t="str">
        <f t="shared" si="63"/>
        <v>3.2</v>
      </c>
      <c r="U58" s="366" t="str">
        <f t="shared" si="64"/>
        <v>4.8</v>
      </c>
      <c r="V58" s="366" t="str">
        <f t="shared" si="65"/>
        <v>3.2</v>
      </c>
      <c r="W58" s="366" t="str">
        <f t="shared" si="66"/>
        <v>4.1</v>
      </c>
    </row>
    <row r="59" spans="1:23" ht="19.5" customHeight="1">
      <c r="A59" s="293" t="s">
        <v>85</v>
      </c>
      <c r="B59" s="367">
        <f>VLOOKUP($A59,'T3_data(t)'!$A:$N,2,FALSE)</f>
        <v>13295.75</v>
      </c>
      <c r="C59" s="367">
        <f>VLOOKUP($A59,'T3_data(t)'!$A:$N,3,FALSE)</f>
        <v>1165.83</v>
      </c>
      <c r="D59" s="367">
        <f>VLOOKUP($A59,'T3_data(t)'!$A:$N,4,FALSE)</f>
        <v>1168.68</v>
      </c>
      <c r="E59" s="367">
        <f>VLOOKUP($A59,'T3_data(t)'!$A:$N,5,FALSE)</f>
        <v>1180.05</v>
      </c>
      <c r="F59" s="368">
        <f>VLOOKUP($A59,'T3_data(t)'!$A:$N,6,FALSE)</f>
        <v>11508.74</v>
      </c>
      <c r="G59" s="369">
        <f>VLOOKUP($A59,'T3_data(t)'!$A:$N,7,FALSE)</f>
        <v>2</v>
      </c>
      <c r="H59" s="369">
        <f>VLOOKUP($A59,'T3_data(t)'!$A:$N,8,FALSE)</f>
        <v>4.1500000000000004</v>
      </c>
      <c r="I59" s="369">
        <f>VLOOKUP($A59,'T3_data(t)'!$A:$N,9,FALSE)</f>
        <v>1.22</v>
      </c>
      <c r="J59" s="369">
        <f>VLOOKUP($A59,'T3_data(t)'!$A:$N,10,FALSE)</f>
        <v>3.68</v>
      </c>
      <c r="K59" s="369">
        <f>VLOOKUP($A59,'T3_data(t)'!$A:$N,11,FALSE)</f>
        <v>4.42</v>
      </c>
      <c r="L59" s="369">
        <f>VLOOKUP($A59,'T3_data(t)'!$A:$N,12,FALSE)</f>
        <v>3.77</v>
      </c>
      <c r="M59" s="369">
        <f>VLOOKUP($A59,'T3_data(t)'!$A:$N,13,FALSE)</f>
        <v>4.09</v>
      </c>
      <c r="N59" s="369">
        <f>VLOOKUP($A59,'T3_data(t)'!$A:$N,14,FALSE)</f>
        <v>4.07</v>
      </c>
      <c r="P59" s="366" t="str">
        <f t="shared" si="13"/>
        <v>2.0</v>
      </c>
      <c r="Q59" s="366" t="str">
        <f t="shared" si="14"/>
        <v>4.2</v>
      </c>
      <c r="R59" s="366" t="str">
        <f t="shared" si="15"/>
        <v>1.2</v>
      </c>
      <c r="S59" s="366" t="str">
        <f t="shared" si="16"/>
        <v>3.7</v>
      </c>
      <c r="T59" s="366" t="str">
        <f t="shared" si="63"/>
        <v>4.4</v>
      </c>
      <c r="U59" s="366" t="str">
        <f t="shared" si="64"/>
        <v>3.8</v>
      </c>
      <c r="V59" s="366" t="str">
        <f t="shared" si="65"/>
        <v>4.1</v>
      </c>
      <c r="W59" s="366" t="str">
        <f t="shared" si="66"/>
        <v>4.1</v>
      </c>
    </row>
    <row r="60" spans="1:23" ht="19.5" customHeight="1">
      <c r="A60" s="293" t="s">
        <v>86</v>
      </c>
      <c r="B60" s="367">
        <f>VLOOKUP($A60,'T3_data(t)'!$A:$N,2,FALSE)</f>
        <v>8789.4699999999993</v>
      </c>
      <c r="C60" s="367">
        <f>VLOOKUP($A60,'T3_data(t)'!$A:$N,3,FALSE)</f>
        <v>755.87</v>
      </c>
      <c r="D60" s="367">
        <f>VLOOKUP($A60,'T3_data(t)'!$A:$N,4,FALSE)</f>
        <v>707.17</v>
      </c>
      <c r="E60" s="367">
        <f>VLOOKUP($A60,'T3_data(t)'!$A:$N,5,FALSE)</f>
        <v>705.8</v>
      </c>
      <c r="F60" s="368">
        <f>VLOOKUP($A60,'T3_data(t)'!$A:$N,6,FALSE)</f>
        <v>7180.84</v>
      </c>
      <c r="G60" s="369">
        <f>VLOOKUP($A60,'T3_data(t)'!$A:$N,7,FALSE)</f>
        <v>-0.99</v>
      </c>
      <c r="H60" s="369">
        <f>VLOOKUP($A60,'T3_data(t)'!$A:$N,8,FALSE)</f>
        <v>-4.29</v>
      </c>
      <c r="I60" s="369">
        <f>VLOOKUP($A60,'T3_data(t)'!$A:$N,9,FALSE)</f>
        <v>-6.62</v>
      </c>
      <c r="J60" s="369">
        <f>VLOOKUP($A60,'T3_data(t)'!$A:$N,10,FALSE)</f>
        <v>-2.48</v>
      </c>
      <c r="K60" s="369">
        <f>VLOOKUP($A60,'T3_data(t)'!$A:$N,11,FALSE)</f>
        <v>2.92</v>
      </c>
      <c r="L60" s="369">
        <f>VLOOKUP($A60,'T3_data(t)'!$A:$N,12,FALSE)</f>
        <v>2.2799999999999998</v>
      </c>
      <c r="M60" s="369">
        <f>VLOOKUP($A60,'T3_data(t)'!$A:$N,13,FALSE)</f>
        <v>2.4500000000000002</v>
      </c>
      <c r="N60" s="369">
        <f>VLOOKUP($A60,'T3_data(t)'!$A:$N,14,FALSE)</f>
        <v>2.54</v>
      </c>
      <c r="P60" s="366" t="str">
        <f t="shared" si="13"/>
        <v>-1.0</v>
      </c>
      <c r="Q60" s="366" t="str">
        <f t="shared" si="14"/>
        <v>-4.3</v>
      </c>
      <c r="R60" s="366" t="str">
        <f t="shared" si="15"/>
        <v>-6.6</v>
      </c>
      <c r="S60" s="366" t="str">
        <f t="shared" si="16"/>
        <v>-2.5</v>
      </c>
      <c r="T60" s="366" t="str">
        <f t="shared" si="63"/>
        <v>2.9</v>
      </c>
      <c r="U60" s="366" t="str">
        <f t="shared" si="64"/>
        <v>2.3</v>
      </c>
      <c r="V60" s="366" t="str">
        <f t="shared" si="65"/>
        <v>2.5</v>
      </c>
      <c r="W60" s="366" t="str">
        <f t="shared" si="66"/>
        <v>2.5</v>
      </c>
    </row>
    <row r="61" spans="1:23" ht="19.5" customHeight="1">
      <c r="A61" s="293" t="s">
        <v>87</v>
      </c>
      <c r="B61" s="367">
        <f>VLOOKUP($A61,'T3_data(t)'!$A:$N,2,FALSE)</f>
        <v>11447.29</v>
      </c>
      <c r="C61" s="367">
        <f>VLOOKUP($A61,'T3_data(t)'!$A:$N,3,FALSE)</f>
        <v>987.08</v>
      </c>
      <c r="D61" s="367">
        <f>VLOOKUP($A61,'T3_data(t)'!$A:$N,4,FALSE)</f>
        <v>1055.8499999999999</v>
      </c>
      <c r="E61" s="367">
        <f>VLOOKUP($A61,'T3_data(t)'!$A:$N,5,FALSE)</f>
        <v>1074.83</v>
      </c>
      <c r="F61" s="368">
        <f>VLOOKUP($A61,'T3_data(t)'!$A:$N,6,FALSE)</f>
        <v>10346.64</v>
      </c>
      <c r="G61" s="369">
        <f>VLOOKUP($A61,'T3_data(t)'!$A:$N,7,FALSE)</f>
        <v>3.25</v>
      </c>
      <c r="H61" s="369">
        <f>VLOOKUP($A61,'T3_data(t)'!$A:$N,8,FALSE)</f>
        <v>15.71</v>
      </c>
      <c r="I61" s="369">
        <f>VLOOKUP($A61,'T3_data(t)'!$A:$N,9,FALSE)</f>
        <v>8.89</v>
      </c>
      <c r="J61" s="369">
        <f>VLOOKUP($A61,'T3_data(t)'!$A:$N,10,FALSE)</f>
        <v>8.6300000000000008</v>
      </c>
      <c r="K61" s="369">
        <f>VLOOKUP($A61,'T3_data(t)'!$A:$N,11,FALSE)</f>
        <v>3.81</v>
      </c>
      <c r="L61" s="369">
        <f>VLOOKUP($A61,'T3_data(t)'!$A:$N,12,FALSE)</f>
        <v>3.41</v>
      </c>
      <c r="M61" s="369">
        <f>VLOOKUP($A61,'T3_data(t)'!$A:$N,13,FALSE)</f>
        <v>3.73</v>
      </c>
      <c r="N61" s="369">
        <f>VLOOKUP($A61,'T3_data(t)'!$A:$N,14,FALSE)</f>
        <v>3.66</v>
      </c>
      <c r="P61" s="366" t="str">
        <f t="shared" si="13"/>
        <v>3.3</v>
      </c>
      <c r="Q61" s="366" t="str">
        <f t="shared" si="14"/>
        <v>15.7</v>
      </c>
      <c r="R61" s="366" t="str">
        <f t="shared" si="15"/>
        <v>8.9</v>
      </c>
      <c r="S61" s="366" t="str">
        <f t="shared" si="16"/>
        <v>8.6</v>
      </c>
      <c r="T61" s="366" t="str">
        <f t="shared" si="63"/>
        <v>3.8</v>
      </c>
      <c r="U61" s="366" t="str">
        <f t="shared" si="64"/>
        <v>3.4</v>
      </c>
      <c r="V61" s="366" t="str">
        <f t="shared" si="65"/>
        <v>3.7</v>
      </c>
      <c r="W61" s="366" t="str">
        <f t="shared" si="66"/>
        <v>3.7</v>
      </c>
    </row>
    <row r="62" spans="1:23" ht="19.5" customHeight="1">
      <c r="A62" s="293" t="s">
        <v>88</v>
      </c>
      <c r="B62" s="367">
        <f>VLOOKUP($A62,'T3_data(t)'!$A:$N,2,FALSE)</f>
        <v>6628.41</v>
      </c>
      <c r="C62" s="367">
        <f>VLOOKUP($A62,'T3_data(t)'!$A:$N,3,FALSE)</f>
        <v>524.70000000000005</v>
      </c>
      <c r="D62" s="367">
        <f>VLOOKUP($A62,'T3_data(t)'!$A:$N,4,FALSE)</f>
        <v>584.94000000000005</v>
      </c>
      <c r="E62" s="367">
        <f>VLOOKUP($A62,'T3_data(t)'!$A:$N,5,FALSE)</f>
        <v>614.46</v>
      </c>
      <c r="F62" s="368">
        <f>VLOOKUP($A62,'T3_data(t)'!$A:$N,6,FALSE)</f>
        <v>5724.71</v>
      </c>
      <c r="G62" s="369">
        <f>VLOOKUP($A62,'T3_data(t)'!$A:$N,7,FALSE)</f>
        <v>-4.67</v>
      </c>
      <c r="H62" s="369">
        <f>VLOOKUP($A62,'T3_data(t)'!$A:$N,8,FALSE)</f>
        <v>14.33</v>
      </c>
      <c r="I62" s="369">
        <f>VLOOKUP($A62,'T3_data(t)'!$A:$N,9,FALSE)</f>
        <v>17.11</v>
      </c>
      <c r="J62" s="369">
        <f>VLOOKUP($A62,'T3_data(t)'!$A:$N,10,FALSE)</f>
        <v>2.85</v>
      </c>
      <c r="K62" s="369">
        <f>VLOOKUP($A62,'T3_data(t)'!$A:$N,11,FALSE)</f>
        <v>2.2000000000000002</v>
      </c>
      <c r="L62" s="369">
        <f>VLOOKUP($A62,'T3_data(t)'!$A:$N,12,FALSE)</f>
        <v>1.89</v>
      </c>
      <c r="M62" s="369">
        <f>VLOOKUP($A62,'T3_data(t)'!$A:$N,13,FALSE)</f>
        <v>2.13</v>
      </c>
      <c r="N62" s="369">
        <f>VLOOKUP($A62,'T3_data(t)'!$A:$N,14,FALSE)</f>
        <v>2.02</v>
      </c>
      <c r="P62" s="366" t="str">
        <f t="shared" si="13"/>
        <v>-4.7</v>
      </c>
      <c r="Q62" s="366" t="str">
        <f t="shared" si="14"/>
        <v>14.3</v>
      </c>
      <c r="R62" s="366" t="str">
        <f t="shared" si="15"/>
        <v>17.1</v>
      </c>
      <c r="S62" s="366" t="str">
        <f t="shared" si="16"/>
        <v>2.9</v>
      </c>
      <c r="T62" s="366" t="str">
        <f t="shared" si="63"/>
        <v>2.2</v>
      </c>
      <c r="U62" s="366" t="str">
        <f t="shared" si="64"/>
        <v>1.9</v>
      </c>
      <c r="V62" s="366" t="str">
        <f t="shared" si="65"/>
        <v>2.1</v>
      </c>
      <c r="W62" s="366" t="str">
        <f t="shared" si="66"/>
        <v>2.0</v>
      </c>
    </row>
    <row r="63" spans="1:23" ht="19.5" customHeight="1">
      <c r="A63" s="293" t="s">
        <v>89</v>
      </c>
      <c r="B63" s="367">
        <f>VLOOKUP($A63,'T3_data(t)'!$A:$N,2,FALSE)</f>
        <v>6200.15</v>
      </c>
      <c r="C63" s="367">
        <f>VLOOKUP($A63,'T3_data(t)'!$A:$N,3,FALSE)</f>
        <v>536.48</v>
      </c>
      <c r="D63" s="367">
        <f>VLOOKUP($A63,'T3_data(t)'!$A:$N,4,FALSE)</f>
        <v>504.71</v>
      </c>
      <c r="E63" s="367">
        <f>VLOOKUP($A63,'T3_data(t)'!$A:$N,5,FALSE)</f>
        <v>509.51</v>
      </c>
      <c r="F63" s="368">
        <f>VLOOKUP($A63,'T3_data(t)'!$A:$N,6,FALSE)</f>
        <v>5128.04</v>
      </c>
      <c r="G63" s="369">
        <f>VLOOKUP($A63,'T3_data(t)'!$A:$N,7,FALSE)</f>
        <v>2.78</v>
      </c>
      <c r="H63" s="369">
        <f>VLOOKUP($A63,'T3_data(t)'!$A:$N,8,FALSE)</f>
        <v>2.36</v>
      </c>
      <c r="I63" s="369">
        <f>VLOOKUP($A63,'T3_data(t)'!$A:$N,9,FALSE)</f>
        <v>-5.03</v>
      </c>
      <c r="J63" s="369">
        <f>VLOOKUP($A63,'T3_data(t)'!$A:$N,10,FALSE)</f>
        <v>-0.4</v>
      </c>
      <c r="K63" s="369">
        <f>VLOOKUP($A63,'T3_data(t)'!$A:$N,11,FALSE)</f>
        <v>2.06</v>
      </c>
      <c r="L63" s="369">
        <f>VLOOKUP($A63,'T3_data(t)'!$A:$N,12,FALSE)</f>
        <v>1.63</v>
      </c>
      <c r="M63" s="369">
        <f>VLOOKUP($A63,'T3_data(t)'!$A:$N,13,FALSE)</f>
        <v>1.77</v>
      </c>
      <c r="N63" s="369">
        <f>VLOOKUP($A63,'T3_data(t)'!$A:$N,14,FALSE)</f>
        <v>1.81</v>
      </c>
      <c r="P63" s="366" t="str">
        <f t="shared" si="13"/>
        <v>2.8</v>
      </c>
      <c r="Q63" s="366" t="str">
        <f t="shared" si="14"/>
        <v>2.4</v>
      </c>
      <c r="R63" s="366" t="str">
        <f t="shared" si="15"/>
        <v>-5.0</v>
      </c>
      <c r="S63" s="366" t="str">
        <f t="shared" si="16"/>
        <v>-0.4</v>
      </c>
      <c r="T63" s="366" t="str">
        <f t="shared" si="63"/>
        <v>2.1</v>
      </c>
      <c r="U63" s="366" t="str">
        <f t="shared" si="64"/>
        <v>1.6</v>
      </c>
      <c r="V63" s="366" t="str">
        <f t="shared" si="65"/>
        <v>1.8</v>
      </c>
      <c r="W63" s="366" t="str">
        <f t="shared" si="66"/>
        <v>1.8</v>
      </c>
    </row>
    <row r="64" spans="1:23" ht="19.5" customHeight="1">
      <c r="A64" s="293" t="s">
        <v>90</v>
      </c>
      <c r="B64" s="367">
        <f>VLOOKUP($A64,'T3_data(t)'!$A:$N,2,FALSE)</f>
        <v>14231.14</v>
      </c>
      <c r="C64" s="367">
        <f>VLOOKUP($A64,'T3_data(t)'!$A:$N,3,FALSE)</f>
        <v>1323.41</v>
      </c>
      <c r="D64" s="367">
        <f>VLOOKUP($A64,'T3_data(t)'!$A:$N,4,FALSE)</f>
        <v>1295.79</v>
      </c>
      <c r="E64" s="367">
        <f>VLOOKUP($A64,'T3_data(t)'!$A:$N,5,FALSE)</f>
        <v>1341.12</v>
      </c>
      <c r="F64" s="368">
        <f>VLOOKUP($A64,'T3_data(t)'!$A:$N,6,FALSE)</f>
        <v>13071.84</v>
      </c>
      <c r="G64" s="369">
        <f>VLOOKUP($A64,'T3_data(t)'!$A:$N,7,FALSE)</f>
        <v>7.51</v>
      </c>
      <c r="H64" s="369">
        <f>VLOOKUP($A64,'T3_data(t)'!$A:$N,8,FALSE)</f>
        <v>7.4</v>
      </c>
      <c r="I64" s="369">
        <f>VLOOKUP($A64,'T3_data(t)'!$A:$N,9,FALSE)</f>
        <v>1.34</v>
      </c>
      <c r="J64" s="369">
        <f>VLOOKUP($A64,'T3_data(t)'!$A:$N,10,FALSE)</f>
        <v>13.65</v>
      </c>
      <c r="K64" s="369">
        <f>VLOOKUP($A64,'T3_data(t)'!$A:$N,11,FALSE)</f>
        <v>4.7300000000000004</v>
      </c>
      <c r="L64" s="369">
        <f>VLOOKUP($A64,'T3_data(t)'!$A:$N,12,FALSE)</f>
        <v>4.18</v>
      </c>
      <c r="M64" s="369">
        <f>VLOOKUP($A64,'T3_data(t)'!$A:$N,13,FALSE)</f>
        <v>4.6500000000000004</v>
      </c>
      <c r="N64" s="369">
        <f>VLOOKUP($A64,'T3_data(t)'!$A:$N,14,FALSE)</f>
        <v>4.62</v>
      </c>
      <c r="P64" s="366" t="str">
        <f t="shared" si="13"/>
        <v>7.5</v>
      </c>
      <c r="Q64" s="366" t="str">
        <f t="shared" si="14"/>
        <v>7.4</v>
      </c>
      <c r="R64" s="366" t="str">
        <f t="shared" si="15"/>
        <v>1.3</v>
      </c>
      <c r="S64" s="366" t="str">
        <f t="shared" si="16"/>
        <v>13.7</v>
      </c>
      <c r="T64" s="366" t="str">
        <f t="shared" si="63"/>
        <v>4.7</v>
      </c>
      <c r="U64" s="366" t="str">
        <f t="shared" si="64"/>
        <v>4.2</v>
      </c>
      <c r="V64" s="366" t="str">
        <f t="shared" si="65"/>
        <v>4.7</v>
      </c>
      <c r="W64" s="366" t="str">
        <f t="shared" si="66"/>
        <v>4.6</v>
      </c>
    </row>
    <row r="65" spans="1:23" ht="19.5" customHeight="1">
      <c r="A65" s="293" t="s">
        <v>91</v>
      </c>
      <c r="B65" s="367">
        <f>VLOOKUP($A65,'T3_data(t)'!$A:$N,2,FALSE)</f>
        <v>7561.46</v>
      </c>
      <c r="C65" s="367">
        <f>VLOOKUP($A65,'T3_data(t)'!$A:$N,3,FALSE)</f>
        <v>675.51</v>
      </c>
      <c r="D65" s="367">
        <f>VLOOKUP($A65,'T3_data(t)'!$A:$N,4,FALSE)</f>
        <v>647.53</v>
      </c>
      <c r="E65" s="367">
        <f>VLOOKUP($A65,'T3_data(t)'!$A:$N,5,FALSE)</f>
        <v>647.96</v>
      </c>
      <c r="F65" s="368">
        <f>VLOOKUP($A65,'T3_data(t)'!$A:$N,6,FALSE)</f>
        <v>6551.17</v>
      </c>
      <c r="G65" s="369">
        <f>VLOOKUP($A65,'T3_data(t)'!$A:$N,7,FALSE)</f>
        <v>5.87</v>
      </c>
      <c r="H65" s="369">
        <f>VLOOKUP($A65,'T3_data(t)'!$A:$N,8,FALSE)</f>
        <v>-2.4</v>
      </c>
      <c r="I65" s="369">
        <f>VLOOKUP($A65,'T3_data(t)'!$A:$N,9,FALSE)</f>
        <v>-4.08</v>
      </c>
      <c r="J65" s="369">
        <f>VLOOKUP($A65,'T3_data(t)'!$A:$N,10,FALSE)</f>
        <v>4.22</v>
      </c>
      <c r="K65" s="369">
        <f>VLOOKUP($A65,'T3_data(t)'!$A:$N,11,FALSE)</f>
        <v>2.5099999999999998</v>
      </c>
      <c r="L65" s="369">
        <f>VLOOKUP($A65,'T3_data(t)'!$A:$N,12,FALSE)</f>
        <v>2.09</v>
      </c>
      <c r="M65" s="369">
        <f>VLOOKUP($A65,'T3_data(t)'!$A:$N,13,FALSE)</f>
        <v>2.25</v>
      </c>
      <c r="N65" s="369">
        <f>VLOOKUP($A65,'T3_data(t)'!$A:$N,14,FALSE)</f>
        <v>2.3199999999999998</v>
      </c>
      <c r="P65" s="366" t="str">
        <f t="shared" si="13"/>
        <v>5.9</v>
      </c>
      <c r="Q65" s="366" t="str">
        <f t="shared" si="14"/>
        <v>-2.4</v>
      </c>
      <c r="R65" s="366" t="str">
        <f t="shared" si="15"/>
        <v>-4.1</v>
      </c>
      <c r="S65" s="366" t="str">
        <f t="shared" si="16"/>
        <v>4.2</v>
      </c>
      <c r="T65" s="366" t="str">
        <f t="shared" si="63"/>
        <v>2.5</v>
      </c>
      <c r="U65" s="366" t="str">
        <f t="shared" si="64"/>
        <v>2.1</v>
      </c>
      <c r="V65" s="366" t="str">
        <f t="shared" si="65"/>
        <v>2.3</v>
      </c>
      <c r="W65" s="366" t="str">
        <f t="shared" si="66"/>
        <v>2.3</v>
      </c>
    </row>
    <row r="66" spans="1:23" ht="19.5" customHeight="1">
      <c r="A66" s="293" t="s">
        <v>92</v>
      </c>
      <c r="B66" s="367">
        <f>VLOOKUP($A66,'T3_data(t)'!$A:$N,2,FALSE)</f>
        <v>1481.08</v>
      </c>
      <c r="C66" s="367">
        <f>VLOOKUP($A66,'T3_data(t)'!$A:$N,3,FALSE)</f>
        <v>134.87</v>
      </c>
      <c r="D66" s="367">
        <f>VLOOKUP($A66,'T3_data(t)'!$A:$N,4,FALSE)</f>
        <v>116.7</v>
      </c>
      <c r="E66" s="367">
        <f>VLOOKUP($A66,'T3_data(t)'!$A:$N,5,FALSE)</f>
        <v>117.62</v>
      </c>
      <c r="F66" s="368">
        <f>VLOOKUP($A66,'T3_data(t)'!$A:$N,6,FALSE)</f>
        <v>1185.1600000000001</v>
      </c>
      <c r="G66" s="369">
        <f>VLOOKUP($A66,'T3_data(t)'!$A:$N,7,FALSE)</f>
        <v>16.82</v>
      </c>
      <c r="H66" s="369">
        <f>VLOOKUP($A66,'T3_data(t)'!$A:$N,8,FALSE)</f>
        <v>-7.64</v>
      </c>
      <c r="I66" s="369">
        <f>VLOOKUP($A66,'T3_data(t)'!$A:$N,9,FALSE)</f>
        <v>-12.79</v>
      </c>
      <c r="J66" s="369">
        <f>VLOOKUP($A66,'T3_data(t)'!$A:$N,10,FALSE)</f>
        <v>-2.4300000000000002</v>
      </c>
      <c r="K66" s="369">
        <f>VLOOKUP($A66,'T3_data(t)'!$A:$N,11,FALSE)</f>
        <v>0.49</v>
      </c>
      <c r="L66" s="369">
        <f>VLOOKUP($A66,'T3_data(t)'!$A:$N,12,FALSE)</f>
        <v>0.38</v>
      </c>
      <c r="M66" s="369">
        <f>VLOOKUP($A66,'T3_data(t)'!$A:$N,13,FALSE)</f>
        <v>0.41</v>
      </c>
      <c r="N66" s="369">
        <f>VLOOKUP($A66,'T3_data(t)'!$A:$N,14,FALSE)</f>
        <v>0.42</v>
      </c>
      <c r="P66" s="366" t="str">
        <f t="shared" si="13"/>
        <v>16.8</v>
      </c>
      <c r="Q66" s="366" t="str">
        <f t="shared" si="14"/>
        <v>-7.6</v>
      </c>
      <c r="R66" s="366" t="str">
        <f t="shared" si="15"/>
        <v>-12.8</v>
      </c>
      <c r="S66" s="366" t="str">
        <f t="shared" si="16"/>
        <v>-2.4</v>
      </c>
      <c r="T66" s="366" t="str">
        <f t="shared" si="63"/>
        <v>0.5</v>
      </c>
      <c r="U66" s="366" t="str">
        <f t="shared" si="64"/>
        <v>0.4</v>
      </c>
      <c r="V66" s="366" t="str">
        <f t="shared" si="65"/>
        <v>0.4</v>
      </c>
      <c r="W66" s="366" t="str">
        <f t="shared" si="66"/>
        <v>0.4</v>
      </c>
    </row>
    <row r="67" spans="1:23" ht="19.5" customHeight="1">
      <c r="A67" s="293" t="s">
        <v>93</v>
      </c>
      <c r="B67" s="367">
        <f>VLOOKUP($A67,'T3_data(t)'!$A:$N,2,FALSE)</f>
        <v>8422.34</v>
      </c>
      <c r="C67" s="367">
        <f>VLOOKUP($A67,'T3_data(t)'!$A:$N,3,FALSE)</f>
        <v>776.48</v>
      </c>
      <c r="D67" s="367">
        <f>VLOOKUP($A67,'T3_data(t)'!$A:$N,4,FALSE)</f>
        <v>677.65</v>
      </c>
      <c r="E67" s="367">
        <f>VLOOKUP($A67,'T3_data(t)'!$A:$N,5,FALSE)</f>
        <v>737.58</v>
      </c>
      <c r="F67" s="368">
        <f>VLOOKUP($A67,'T3_data(t)'!$A:$N,6,FALSE)</f>
        <v>6931.73</v>
      </c>
      <c r="G67" s="369">
        <f>VLOOKUP($A67,'T3_data(t)'!$A:$N,7,FALSE)</f>
        <v>4.55</v>
      </c>
      <c r="H67" s="369">
        <f>VLOOKUP($A67,'T3_data(t)'!$A:$N,8,FALSE)</f>
        <v>-0.59</v>
      </c>
      <c r="I67" s="369">
        <f>VLOOKUP($A67,'T3_data(t)'!$A:$N,9,FALSE)</f>
        <v>-5.01</v>
      </c>
      <c r="J67" s="369">
        <f>VLOOKUP($A67,'T3_data(t)'!$A:$N,10,FALSE)</f>
        <v>-0.28000000000000003</v>
      </c>
      <c r="K67" s="369">
        <f>VLOOKUP($A67,'T3_data(t)'!$A:$N,11,FALSE)</f>
        <v>2.8</v>
      </c>
      <c r="L67" s="369">
        <f>VLOOKUP($A67,'T3_data(t)'!$A:$N,12,FALSE)</f>
        <v>2.19</v>
      </c>
      <c r="M67" s="369">
        <f>VLOOKUP($A67,'T3_data(t)'!$A:$N,13,FALSE)</f>
        <v>2.56</v>
      </c>
      <c r="N67" s="369">
        <f>VLOOKUP($A67,'T3_data(t)'!$A:$N,14,FALSE)</f>
        <v>2.4500000000000002</v>
      </c>
      <c r="P67" s="366" t="str">
        <f t="shared" si="13"/>
        <v>4.6</v>
      </c>
      <c r="Q67" s="366" t="str">
        <f t="shared" si="14"/>
        <v>-0.6</v>
      </c>
      <c r="R67" s="366" t="str">
        <f t="shared" si="15"/>
        <v>-5.0</v>
      </c>
      <c r="S67" s="366" t="str">
        <f t="shared" si="16"/>
        <v>-0.3</v>
      </c>
      <c r="T67" s="366" t="str">
        <f t="shared" si="63"/>
        <v>2.8</v>
      </c>
      <c r="U67" s="366" t="str">
        <f t="shared" si="64"/>
        <v>2.2</v>
      </c>
      <c r="V67" s="366" t="str">
        <f t="shared" si="65"/>
        <v>2.6</v>
      </c>
      <c r="W67" s="366" t="str">
        <f t="shared" si="66"/>
        <v>2.5</v>
      </c>
    </row>
    <row r="68" spans="1:23" ht="19.5" customHeight="1">
      <c r="A68" s="293" t="s">
        <v>94</v>
      </c>
      <c r="B68" s="367">
        <f>VLOOKUP($A68,'T3_data(t)'!$A:$N,2,FALSE)</f>
        <v>10320.040000000001</v>
      </c>
      <c r="C68" s="367">
        <f>VLOOKUP($A68,'T3_data(t)'!$A:$N,3,FALSE)</f>
        <v>1032.57</v>
      </c>
      <c r="D68" s="367">
        <f>VLOOKUP($A68,'T3_data(t)'!$A:$N,4,FALSE)</f>
        <v>1025.43</v>
      </c>
      <c r="E68" s="367">
        <f>VLOOKUP($A68,'T3_data(t)'!$A:$N,5,FALSE)</f>
        <v>1058.24</v>
      </c>
      <c r="F68" s="368">
        <f>VLOOKUP($A68,'T3_data(t)'!$A:$N,6,FALSE)</f>
        <v>9845.43</v>
      </c>
      <c r="G68" s="369">
        <f>VLOOKUP($A68,'T3_data(t)'!$A:$N,7,FALSE)</f>
        <v>17.39</v>
      </c>
      <c r="H68" s="369">
        <f>VLOOKUP($A68,'T3_data(t)'!$A:$N,8,FALSE)</f>
        <v>11.32</v>
      </c>
      <c r="I68" s="369">
        <f>VLOOKUP($A68,'T3_data(t)'!$A:$N,9,FALSE)</f>
        <v>2.4900000000000002</v>
      </c>
      <c r="J68" s="369">
        <f>VLOOKUP($A68,'T3_data(t)'!$A:$N,10,FALSE)</f>
        <v>16.239999999999998</v>
      </c>
      <c r="K68" s="369">
        <f>VLOOKUP($A68,'T3_data(t)'!$A:$N,11,FALSE)</f>
        <v>3.43</v>
      </c>
      <c r="L68" s="369">
        <f>VLOOKUP($A68,'T3_data(t)'!$A:$N,12,FALSE)</f>
        <v>3.31</v>
      </c>
      <c r="M68" s="369">
        <f>VLOOKUP($A68,'T3_data(t)'!$A:$N,13,FALSE)</f>
        <v>3.67</v>
      </c>
      <c r="N68" s="369">
        <f>VLOOKUP($A68,'T3_data(t)'!$A:$N,14,FALSE)</f>
        <v>3.48</v>
      </c>
      <c r="P68" s="366" t="str">
        <f t="shared" si="13"/>
        <v>17.4</v>
      </c>
      <c r="Q68" s="366" t="str">
        <f t="shared" si="14"/>
        <v>11.3</v>
      </c>
      <c r="R68" s="366" t="str">
        <f t="shared" si="15"/>
        <v>2.5</v>
      </c>
      <c r="S68" s="366" t="str">
        <f t="shared" si="16"/>
        <v>16.2</v>
      </c>
      <c r="T68" s="366" t="str">
        <f t="shared" si="63"/>
        <v>3.4</v>
      </c>
      <c r="U68" s="366" t="str">
        <f t="shared" si="64"/>
        <v>3.3</v>
      </c>
      <c r="V68" s="366" t="str">
        <f t="shared" si="65"/>
        <v>3.7</v>
      </c>
      <c r="W68" s="366" t="str">
        <f t="shared" si="66"/>
        <v>3.5</v>
      </c>
    </row>
    <row r="69" spans="1:23" ht="19.5" customHeight="1">
      <c r="A69" s="293" t="s">
        <v>95</v>
      </c>
      <c r="B69" s="367">
        <f>VLOOKUP($A69,'T3_data(t)'!$A:$N,2,FALSE)</f>
        <v>3571.83</v>
      </c>
      <c r="C69" s="367">
        <f>VLOOKUP($A69,'T3_data(t)'!$A:$N,3,FALSE)</f>
        <v>320.63</v>
      </c>
      <c r="D69" s="367">
        <f>VLOOKUP($A69,'T3_data(t)'!$A:$N,4,FALSE)</f>
        <v>310.29000000000002</v>
      </c>
      <c r="E69" s="367">
        <f>VLOOKUP($A69,'T3_data(t)'!$A:$N,5,FALSE)</f>
        <v>286.64</v>
      </c>
      <c r="F69" s="368">
        <f>VLOOKUP($A69,'T3_data(t)'!$A:$N,6,FALSE)</f>
        <v>2998.77</v>
      </c>
      <c r="G69" s="369">
        <f>VLOOKUP($A69,'T3_data(t)'!$A:$N,7,FALSE)</f>
        <v>5.64</v>
      </c>
      <c r="H69" s="369">
        <f>VLOOKUP($A69,'T3_data(t)'!$A:$N,8,FALSE)</f>
        <v>0.15</v>
      </c>
      <c r="I69" s="369">
        <f>VLOOKUP($A69,'T3_data(t)'!$A:$N,9,FALSE)</f>
        <v>-10.6</v>
      </c>
      <c r="J69" s="369">
        <f>VLOOKUP($A69,'T3_data(t)'!$A:$N,10,FALSE)</f>
        <v>-0.94</v>
      </c>
      <c r="K69" s="369">
        <f>VLOOKUP($A69,'T3_data(t)'!$A:$N,11,FALSE)</f>
        <v>1.19</v>
      </c>
      <c r="L69" s="369">
        <f>VLOOKUP($A69,'T3_data(t)'!$A:$N,12,FALSE)</f>
        <v>1</v>
      </c>
      <c r="M69" s="369">
        <f>VLOOKUP($A69,'T3_data(t)'!$A:$N,13,FALSE)</f>
        <v>0.99</v>
      </c>
      <c r="N69" s="369">
        <f>VLOOKUP($A69,'T3_data(t)'!$A:$N,14,FALSE)</f>
        <v>1.06</v>
      </c>
      <c r="P69" s="366" t="str">
        <f t="shared" si="13"/>
        <v>5.6</v>
      </c>
      <c r="Q69" s="366" t="str">
        <f t="shared" si="14"/>
        <v>0.2</v>
      </c>
      <c r="R69" s="366" t="str">
        <f t="shared" si="15"/>
        <v>-10.6</v>
      </c>
      <c r="S69" s="366" t="str">
        <f t="shared" si="16"/>
        <v>-0.9</v>
      </c>
      <c r="T69" s="366" t="str">
        <f t="shared" si="63"/>
        <v>1.2</v>
      </c>
      <c r="U69" s="366" t="str">
        <f t="shared" si="64"/>
        <v>1.0</v>
      </c>
      <c r="V69" s="366" t="str">
        <f t="shared" si="65"/>
        <v>1.0</v>
      </c>
      <c r="W69" s="366" t="str">
        <f t="shared" si="66"/>
        <v>1.1</v>
      </c>
    </row>
    <row r="70" spans="1:23" ht="19.5" customHeight="1">
      <c r="A70" s="293" t="s">
        <v>96</v>
      </c>
      <c r="B70" s="367">
        <f>VLOOKUP($A70,'T3_data(t)'!$A:$N,2,FALSE)</f>
        <v>1455.38</v>
      </c>
      <c r="C70" s="367">
        <f>VLOOKUP($A70,'T3_data(t)'!$A:$N,3,FALSE)</f>
        <v>130.06</v>
      </c>
      <c r="D70" s="367">
        <f>VLOOKUP($A70,'T3_data(t)'!$A:$N,4,FALSE)</f>
        <v>157.38</v>
      </c>
      <c r="E70" s="367">
        <f>VLOOKUP($A70,'T3_data(t)'!$A:$N,5,FALSE)</f>
        <v>174.39</v>
      </c>
      <c r="F70" s="368">
        <f>VLOOKUP($A70,'T3_data(t)'!$A:$N,6,FALSE)</f>
        <v>1475.39</v>
      </c>
      <c r="G70" s="369">
        <f>VLOOKUP($A70,'T3_data(t)'!$A:$N,7,FALSE)</f>
        <v>7.24</v>
      </c>
      <c r="H70" s="369">
        <f>VLOOKUP($A70,'T3_data(t)'!$A:$N,8,FALSE)</f>
        <v>24.25</v>
      </c>
      <c r="I70" s="369">
        <f>VLOOKUP($A70,'T3_data(t)'!$A:$N,9,FALSE)</f>
        <v>34.08</v>
      </c>
      <c r="J70" s="369">
        <f>VLOOKUP($A70,'T3_data(t)'!$A:$N,10,FALSE)</f>
        <v>23.24</v>
      </c>
      <c r="K70" s="369">
        <f>VLOOKUP($A70,'T3_data(t)'!$A:$N,11,FALSE)</f>
        <v>0.48</v>
      </c>
      <c r="L70" s="369">
        <f>VLOOKUP($A70,'T3_data(t)'!$A:$N,12,FALSE)</f>
        <v>0.51</v>
      </c>
      <c r="M70" s="369">
        <f>VLOOKUP($A70,'T3_data(t)'!$A:$N,13,FALSE)</f>
        <v>0.6</v>
      </c>
      <c r="N70" s="369">
        <f>VLOOKUP($A70,'T3_data(t)'!$A:$N,14,FALSE)</f>
        <v>0.52</v>
      </c>
      <c r="P70" s="366" t="str">
        <f t="shared" ref="P70:P76" si="67">IF(FIXED(G70,1)="0.0",IF(FIXED(G70,2)="0.00",FIXED(G70,3),FIXED(G70,2)),FIXED(G70,1))</f>
        <v>7.2</v>
      </c>
      <c r="Q70" s="366" t="str">
        <f t="shared" ref="Q70:Q76" si="68">IF(FIXED(H70,1)="0.0",IF(FIXED(H70,2)="0.00",FIXED(H70,3),FIXED(H70,2)),FIXED(H70,1))</f>
        <v>24.3</v>
      </c>
      <c r="R70" s="366" t="str">
        <f t="shared" ref="R70:R76" si="69">IF(FIXED(I70,1)="0.0",IF(FIXED(I70,2)="0.00",FIXED(I70,3),FIXED(I70,2)),FIXED(I70,1))</f>
        <v>34.1</v>
      </c>
      <c r="S70" s="366" t="str">
        <f t="shared" ref="S70:S76" si="70">IF(FIXED(J70,1)="0.0",IF(FIXED(J70,2)="0.00",FIXED(J70,3),FIXED(J70,2)),FIXED(J70,1))</f>
        <v>23.2</v>
      </c>
      <c r="T70" s="366" t="str">
        <f t="shared" si="63"/>
        <v>0.5</v>
      </c>
      <c r="U70" s="366" t="str">
        <f t="shared" si="64"/>
        <v>0.5</v>
      </c>
      <c r="V70" s="366" t="str">
        <f t="shared" si="65"/>
        <v>0.6</v>
      </c>
      <c r="W70" s="366" t="str">
        <f t="shared" si="66"/>
        <v>0.5</v>
      </c>
    </row>
    <row r="71" spans="1:23" ht="19.5" customHeight="1">
      <c r="A71" s="293" t="s">
        <v>97</v>
      </c>
      <c r="B71" s="367">
        <f>VLOOKUP($A71,'T3_data(t)'!$A:$N,2,FALSE)</f>
        <v>1741.07</v>
      </c>
      <c r="C71" s="367">
        <f>VLOOKUP($A71,'T3_data(t)'!$A:$N,3,FALSE)</f>
        <v>166.66</v>
      </c>
      <c r="D71" s="367">
        <f>VLOOKUP($A71,'T3_data(t)'!$A:$N,4,FALSE)</f>
        <v>164.45</v>
      </c>
      <c r="E71" s="367">
        <f>VLOOKUP($A71,'T3_data(t)'!$A:$N,5,FALSE)</f>
        <v>173.62</v>
      </c>
      <c r="F71" s="368">
        <f>VLOOKUP($A71,'T3_data(t)'!$A:$N,6,FALSE)</f>
        <v>1507.85</v>
      </c>
      <c r="G71" s="369">
        <f>VLOOKUP($A71,'T3_data(t)'!$A:$N,7,FALSE)</f>
        <v>9.7200000000000006</v>
      </c>
      <c r="H71" s="369">
        <f>VLOOKUP($A71,'T3_data(t)'!$A:$N,8,FALSE)</f>
        <v>0.99</v>
      </c>
      <c r="I71" s="369">
        <f>VLOOKUP($A71,'T3_data(t)'!$A:$N,9,FALSE)</f>
        <v>4.18</v>
      </c>
      <c r="J71" s="369">
        <f>VLOOKUP($A71,'T3_data(t)'!$A:$N,10,FALSE)</f>
        <v>5.63</v>
      </c>
      <c r="K71" s="369">
        <f>VLOOKUP($A71,'T3_data(t)'!$A:$N,11,FALSE)</f>
        <v>0.57999999999999996</v>
      </c>
      <c r="L71" s="369">
        <f>VLOOKUP($A71,'T3_data(t)'!$A:$N,12,FALSE)</f>
        <v>0.53</v>
      </c>
      <c r="M71" s="369">
        <f>VLOOKUP($A71,'T3_data(t)'!$A:$N,13,FALSE)</f>
        <v>0.6</v>
      </c>
      <c r="N71" s="369">
        <f>VLOOKUP($A71,'T3_data(t)'!$A:$N,14,FALSE)</f>
        <v>0.53</v>
      </c>
      <c r="P71" s="366" t="str">
        <f t="shared" si="67"/>
        <v>9.7</v>
      </c>
      <c r="Q71" s="366" t="str">
        <f t="shared" si="68"/>
        <v>1.0</v>
      </c>
      <c r="R71" s="366" t="str">
        <f t="shared" si="69"/>
        <v>4.2</v>
      </c>
      <c r="S71" s="366" t="str">
        <f t="shared" si="70"/>
        <v>5.6</v>
      </c>
      <c r="T71" s="366" t="str">
        <f t="shared" si="63"/>
        <v>0.6</v>
      </c>
      <c r="U71" s="366" t="str">
        <f t="shared" si="64"/>
        <v>0.5</v>
      </c>
      <c r="V71" s="366" t="str">
        <f t="shared" si="65"/>
        <v>0.6</v>
      </c>
      <c r="W71" s="366" t="str">
        <f t="shared" si="66"/>
        <v>0.5</v>
      </c>
    </row>
    <row r="72" spans="1:23" ht="19.5" customHeight="1">
      <c r="A72" s="293" t="s">
        <v>98</v>
      </c>
      <c r="B72" s="367">
        <f>VLOOKUP($A72,'T3_data(t)'!$A:$N,2,FALSE)</f>
        <v>617.98</v>
      </c>
      <c r="C72" s="367">
        <f>VLOOKUP($A72,'T3_data(t)'!$A:$N,3,FALSE)</f>
        <v>55.89</v>
      </c>
      <c r="D72" s="367">
        <f>VLOOKUP($A72,'T3_data(t)'!$A:$N,4,FALSE)</f>
        <v>70.17</v>
      </c>
      <c r="E72" s="367">
        <f>VLOOKUP($A72,'T3_data(t)'!$A:$N,5,FALSE)</f>
        <v>64.739999999999995</v>
      </c>
      <c r="F72" s="368">
        <f>VLOOKUP($A72,'T3_data(t)'!$A:$N,6,FALSE)</f>
        <v>561.73</v>
      </c>
      <c r="G72" s="369">
        <f>VLOOKUP($A72,'T3_data(t)'!$A:$N,7,FALSE)</f>
        <v>-0.26</v>
      </c>
      <c r="H72" s="369">
        <f>VLOOKUP($A72,'T3_data(t)'!$A:$N,8,FALSE)</f>
        <v>32.75</v>
      </c>
      <c r="I72" s="369">
        <f>VLOOKUP($A72,'T3_data(t)'!$A:$N,9,FALSE)</f>
        <v>15.83</v>
      </c>
      <c r="J72" s="369">
        <f>VLOOKUP($A72,'T3_data(t)'!$A:$N,10,FALSE)</f>
        <v>8.6</v>
      </c>
      <c r="K72" s="369">
        <f>VLOOKUP($A72,'T3_data(t)'!$A:$N,11,FALSE)</f>
        <v>0.21</v>
      </c>
      <c r="L72" s="369">
        <f>VLOOKUP($A72,'T3_data(t)'!$A:$N,12,FALSE)</f>
        <v>0.23</v>
      </c>
      <c r="M72" s="369">
        <f>VLOOKUP($A72,'T3_data(t)'!$A:$N,13,FALSE)</f>
        <v>0.22</v>
      </c>
      <c r="N72" s="369">
        <f>VLOOKUP($A72,'T3_data(t)'!$A:$N,14,FALSE)</f>
        <v>0.2</v>
      </c>
      <c r="P72" s="366" t="str">
        <f t="shared" si="67"/>
        <v>-0.3</v>
      </c>
      <c r="Q72" s="366" t="str">
        <f t="shared" si="68"/>
        <v>32.8</v>
      </c>
      <c r="R72" s="366" t="str">
        <f t="shared" si="69"/>
        <v>15.8</v>
      </c>
      <c r="S72" s="366" t="str">
        <f t="shared" si="70"/>
        <v>8.6</v>
      </c>
      <c r="T72" s="366" t="str">
        <f t="shared" si="63"/>
        <v>0.2</v>
      </c>
      <c r="U72" s="366" t="str">
        <f t="shared" si="64"/>
        <v>0.2</v>
      </c>
      <c r="V72" s="366" t="str">
        <f t="shared" si="65"/>
        <v>0.2</v>
      </c>
      <c r="W72" s="366" t="str">
        <f t="shared" si="66"/>
        <v>0.2</v>
      </c>
    </row>
    <row r="73" spans="1:23" ht="19.5" customHeight="1">
      <c r="A73" s="293" t="s">
        <v>99</v>
      </c>
      <c r="B73" s="367">
        <f>VLOOKUP($A73,'T3_data(t)'!$A:$N,2,FALSE)</f>
        <v>725.14</v>
      </c>
      <c r="C73" s="367">
        <f>VLOOKUP($A73,'T3_data(t)'!$A:$N,3,FALSE)</f>
        <v>59.64</v>
      </c>
      <c r="D73" s="367">
        <f>VLOOKUP($A73,'T3_data(t)'!$A:$N,4,FALSE)</f>
        <v>56.3</v>
      </c>
      <c r="E73" s="367">
        <f>VLOOKUP($A73,'T3_data(t)'!$A:$N,5,FALSE)</f>
        <v>51.38</v>
      </c>
      <c r="F73" s="368">
        <f>VLOOKUP($A73,'T3_data(t)'!$A:$N,6,FALSE)</f>
        <v>556.20000000000005</v>
      </c>
      <c r="G73" s="369">
        <f>VLOOKUP($A73,'T3_data(t)'!$A:$N,7,FALSE)</f>
        <v>5.1100000000000003</v>
      </c>
      <c r="H73" s="369">
        <f>VLOOKUP($A73,'T3_data(t)'!$A:$N,8,FALSE)</f>
        <v>-3.76</v>
      </c>
      <c r="I73" s="369">
        <f>VLOOKUP($A73,'T3_data(t)'!$A:$N,9,FALSE)</f>
        <v>-13.85</v>
      </c>
      <c r="J73" s="369">
        <f>VLOOKUP($A73,'T3_data(t)'!$A:$N,10,FALSE)</f>
        <v>-8.0500000000000007</v>
      </c>
      <c r="K73" s="369">
        <f>VLOOKUP($A73,'T3_data(t)'!$A:$N,11,FALSE)</f>
        <v>0.24</v>
      </c>
      <c r="L73" s="369">
        <f>VLOOKUP($A73,'T3_data(t)'!$A:$N,12,FALSE)</f>
        <v>0.18</v>
      </c>
      <c r="M73" s="369">
        <f>VLOOKUP($A73,'T3_data(t)'!$A:$N,13,FALSE)</f>
        <v>0.18</v>
      </c>
      <c r="N73" s="369">
        <f>VLOOKUP($A73,'T3_data(t)'!$A:$N,14,FALSE)</f>
        <v>0.2</v>
      </c>
      <c r="P73" s="366" t="str">
        <f t="shared" si="67"/>
        <v>5.1</v>
      </c>
      <c r="Q73" s="366" t="str">
        <f t="shared" si="68"/>
        <v>-3.8</v>
      </c>
      <c r="R73" s="366" t="str">
        <f t="shared" si="69"/>
        <v>-13.9</v>
      </c>
      <c r="S73" s="366" t="str">
        <f t="shared" si="70"/>
        <v>-8.1</v>
      </c>
      <c r="T73" s="366" t="str">
        <f t="shared" si="63"/>
        <v>0.2</v>
      </c>
      <c r="U73" s="366" t="str">
        <f t="shared" si="64"/>
        <v>0.2</v>
      </c>
      <c r="V73" s="366" t="str">
        <f t="shared" si="65"/>
        <v>0.2</v>
      </c>
      <c r="W73" s="366" t="str">
        <f t="shared" si="66"/>
        <v>0.2</v>
      </c>
    </row>
    <row r="74" spans="1:23" s="361" customFormat="1" ht="19.5" customHeight="1">
      <c r="A74" s="292" t="s">
        <v>100</v>
      </c>
      <c r="B74" s="363">
        <f>VLOOKUP($A74,'T3_data(t)'!$A:$N,2,FALSE)</f>
        <v>10880.7</v>
      </c>
      <c r="C74" s="363">
        <f>VLOOKUP($A74,'T3_data(t)'!$A:$N,3,FALSE)</f>
        <v>965.78</v>
      </c>
      <c r="D74" s="363">
        <f>VLOOKUP($A74,'T3_data(t)'!$A:$N,4,FALSE)</f>
        <v>621.24</v>
      </c>
      <c r="E74" s="363">
        <f>VLOOKUP($A74,'T3_data(t)'!$A:$N,5,FALSE)</f>
        <v>780.56</v>
      </c>
      <c r="F74" s="364">
        <f>VLOOKUP($A74,'T3_data(t)'!$A:$N,6,FALSE)</f>
        <v>7408.6</v>
      </c>
      <c r="G74" s="365">
        <f>VLOOKUP($A74,'T3_data(t)'!$A:$N,7,FALSE)</f>
        <v>-6.57</v>
      </c>
      <c r="H74" s="365">
        <f>VLOOKUP($A74,'T3_data(t)'!$A:$N,8,FALSE)</f>
        <v>-24.56</v>
      </c>
      <c r="I74" s="365">
        <f>VLOOKUP($A74,'T3_data(t)'!$A:$N,9,FALSE)</f>
        <v>-19.18</v>
      </c>
      <c r="J74" s="365">
        <f>VLOOKUP($A74,'T3_data(t)'!$A:$N,10,FALSE)</f>
        <v>-19.440000000000001</v>
      </c>
      <c r="K74" s="365">
        <f>VLOOKUP($A74,'T3_data(t)'!$A:$N,11,FALSE)</f>
        <v>3.62</v>
      </c>
      <c r="L74" s="365">
        <f>VLOOKUP($A74,'T3_data(t)'!$A:$N,12,FALSE)</f>
        <v>2.0099999999999998</v>
      </c>
      <c r="M74" s="365">
        <f>VLOOKUP($A74,'T3_data(t)'!$A:$N,13,FALSE)</f>
        <v>2.71</v>
      </c>
      <c r="N74" s="365">
        <f>VLOOKUP($A74,'T3_data(t)'!$A:$N,14,FALSE)</f>
        <v>2.62</v>
      </c>
      <c r="P74" s="366" t="str">
        <f t="shared" si="67"/>
        <v>-6.6</v>
      </c>
      <c r="Q74" s="366" t="str">
        <f t="shared" si="68"/>
        <v>-24.6</v>
      </c>
      <c r="R74" s="366" t="str">
        <f t="shared" si="69"/>
        <v>-19.2</v>
      </c>
      <c r="S74" s="366" t="str">
        <f t="shared" si="70"/>
        <v>-19.4</v>
      </c>
      <c r="T74" s="366" t="str">
        <f t="shared" si="63"/>
        <v>3.6</v>
      </c>
      <c r="U74" s="366" t="str">
        <f t="shared" si="64"/>
        <v>2.0</v>
      </c>
      <c r="V74" s="366" t="str">
        <f t="shared" si="65"/>
        <v>2.7</v>
      </c>
      <c r="W74" s="366" t="str">
        <f t="shared" si="66"/>
        <v>2.6</v>
      </c>
    </row>
    <row r="75" spans="1:23" ht="19.5" customHeight="1">
      <c r="A75" s="293" t="s">
        <v>101</v>
      </c>
      <c r="B75" s="367">
        <f>VLOOKUP($A75,'T3_data(t)'!$A:$N,2,FALSE)</f>
        <v>9216.9500000000007</v>
      </c>
      <c r="C75" s="367">
        <f>VLOOKUP($A75,'T3_data(t)'!$A:$N,3,FALSE)</f>
        <v>874.06</v>
      </c>
      <c r="D75" s="367">
        <f>VLOOKUP($A75,'T3_data(t)'!$A:$N,4,FALSE)</f>
        <v>509.23</v>
      </c>
      <c r="E75" s="367">
        <f>VLOOKUP($A75,'T3_data(t)'!$A:$N,5,FALSE)</f>
        <v>680.65</v>
      </c>
      <c r="F75" s="368">
        <f>VLOOKUP($A75,'T3_data(t)'!$A:$N,6,FALSE)</f>
        <v>6280.81</v>
      </c>
      <c r="G75" s="369">
        <f>VLOOKUP($A75,'T3_data(t)'!$A:$N,7,FALSE)</f>
        <v>-9.58</v>
      </c>
      <c r="H75" s="369">
        <f>VLOOKUP($A75,'T3_data(t)'!$A:$N,8,FALSE)</f>
        <v>-30.39</v>
      </c>
      <c r="I75" s="369">
        <f>VLOOKUP($A75,'T3_data(t)'!$A:$N,9,FALSE)</f>
        <v>-22.13</v>
      </c>
      <c r="J75" s="369">
        <f>VLOOKUP($A75,'T3_data(t)'!$A:$N,10,FALSE)</f>
        <v>-19.260000000000002</v>
      </c>
      <c r="K75" s="369">
        <f>VLOOKUP($A75,'T3_data(t)'!$A:$N,11,FALSE)</f>
        <v>3.06</v>
      </c>
      <c r="L75" s="369">
        <f>VLOOKUP($A75,'T3_data(t)'!$A:$N,12,FALSE)</f>
        <v>1.64</v>
      </c>
      <c r="M75" s="369">
        <f>VLOOKUP($A75,'T3_data(t)'!$A:$N,13,FALSE)</f>
        <v>2.36</v>
      </c>
      <c r="N75" s="369">
        <f>VLOOKUP($A75,'T3_data(t)'!$A:$N,14,FALSE)</f>
        <v>2.2200000000000002</v>
      </c>
      <c r="P75" s="366" t="str">
        <f t="shared" si="67"/>
        <v>-9.6</v>
      </c>
      <c r="Q75" s="366" t="str">
        <f t="shared" si="68"/>
        <v>-30.4</v>
      </c>
      <c r="R75" s="366" t="str">
        <f t="shared" si="69"/>
        <v>-22.1</v>
      </c>
      <c r="S75" s="366" t="str">
        <f t="shared" si="70"/>
        <v>-19.3</v>
      </c>
      <c r="T75" s="366" t="str">
        <f t="shared" si="63"/>
        <v>3.1</v>
      </c>
      <c r="U75" s="366" t="str">
        <f t="shared" si="64"/>
        <v>1.6</v>
      </c>
      <c r="V75" s="366" t="str">
        <f t="shared" si="65"/>
        <v>2.4</v>
      </c>
      <c r="W75" s="366" t="str">
        <f t="shared" si="66"/>
        <v>2.2</v>
      </c>
    </row>
    <row r="76" spans="1:23" s="361" customFormat="1" ht="19.5" customHeight="1">
      <c r="A76" s="294" t="s">
        <v>102</v>
      </c>
      <c r="B76" s="373">
        <f>VLOOKUP($A76,'T3_data(t)'!$A:$N,2,FALSE)</f>
        <v>0</v>
      </c>
      <c r="C76" s="373">
        <f>VLOOKUP($A76,'T3_data(t)'!$A:$N,3,FALSE)</f>
        <v>0</v>
      </c>
      <c r="D76" s="373">
        <f>VLOOKUP($A76,'T3_data(t)'!$A:$N,4,FALSE)</f>
        <v>0</v>
      </c>
      <c r="E76" s="373">
        <f>VLOOKUP($A76,'T3_data(t)'!$A:$N,5,FALSE)</f>
        <v>0</v>
      </c>
      <c r="F76" s="374">
        <f>VLOOKUP($A76,'T3_data(t)'!$A:$N,6,FALSE)</f>
        <v>0.02</v>
      </c>
      <c r="G76" s="375">
        <f>VLOOKUP($A76,'T3_data(t)'!$A:$N,7,FALSE)</f>
        <v>0</v>
      </c>
      <c r="H76" s="375">
        <f>VLOOKUP($A76,'T3_data(t)'!$A:$N,7,FALSE)</f>
        <v>0</v>
      </c>
      <c r="I76" s="375">
        <f>VLOOKUP($A76,'T3_data(t)'!$A:$N,9,FALSE)</f>
        <v>0</v>
      </c>
      <c r="J76" s="375">
        <f>VLOOKUP($A76,'T3_data(t)'!$A:$N,10,FALSE)</f>
        <v>0</v>
      </c>
      <c r="K76" s="375">
        <f>VLOOKUP($A76,'T3_data(t)'!$A:$N,11,FALSE)</f>
        <v>0</v>
      </c>
      <c r="L76" s="375">
        <f>VLOOKUP($A76,'T3_data(t)'!$A:$N,12,FALSE)</f>
        <v>0</v>
      </c>
      <c r="M76" s="375">
        <f>VLOOKUP($A76,'T3_data(t)'!$A:$N,13,FALSE)</f>
        <v>0</v>
      </c>
      <c r="N76" s="375">
        <f>VLOOKUP($A76,'T3_data(t)'!$A:$N,14,FALSE)</f>
        <v>0</v>
      </c>
      <c r="P76" s="366" t="str">
        <f t="shared" si="67"/>
        <v>0.000</v>
      </c>
      <c r="Q76" s="366" t="str">
        <f t="shared" si="68"/>
        <v>0.000</v>
      </c>
      <c r="R76" s="366" t="str">
        <f t="shared" si="69"/>
        <v>0.000</v>
      </c>
      <c r="S76" s="366" t="str">
        <f t="shared" si="70"/>
        <v>0.000</v>
      </c>
      <c r="T76" s="366" t="str">
        <f t="shared" si="63"/>
        <v>0.00</v>
      </c>
      <c r="U76" s="366" t="str">
        <f t="shared" si="64"/>
        <v>0.00</v>
      </c>
      <c r="V76" s="366" t="str">
        <f t="shared" si="65"/>
        <v>0.00</v>
      </c>
      <c r="W76" s="366" t="str">
        <f t="shared" si="66"/>
        <v>0.00</v>
      </c>
    </row>
    <row r="77" spans="1:23" ht="24.75" customHeight="1">
      <c r="A77" s="295" t="s">
        <v>231</v>
      </c>
    </row>
    <row r="78" spans="1:23" ht="19.5" customHeight="1">
      <c r="A78" s="295" t="s">
        <v>38</v>
      </c>
    </row>
    <row r="79" spans="1:23" ht="17.25" customHeight="1">
      <c r="B79" s="376"/>
      <c r="C79" s="376"/>
      <c r="D79" s="376"/>
      <c r="E79" s="376"/>
    </row>
    <row r="80" spans="1:23" ht="17.25" hidden="1" customHeight="1">
      <c r="B80" s="377">
        <f>B5-(B6+B34+B74+B76)</f>
        <v>0</v>
      </c>
      <c r="C80" s="377"/>
      <c r="D80" s="377">
        <f>C5-(C6+C34+C74+C76)</f>
        <v>-9.9999999983992893E-3</v>
      </c>
      <c r="E80" s="377">
        <f>D5-(D6+D34+D74+D76)</f>
        <v>0</v>
      </c>
      <c r="F80" s="377">
        <f>E5-(E6+E34+E74+E76)</f>
        <v>0</v>
      </c>
      <c r="G80" s="377"/>
      <c r="H80" s="377"/>
      <c r="I80" s="377"/>
      <c r="J80" s="377"/>
      <c r="K80" s="377">
        <f t="shared" ref="K80:N80" si="71">K5-(K6+K34+K74+K76)</f>
        <v>0</v>
      </c>
      <c r="L80" s="377">
        <f t="shared" si="71"/>
        <v>-1.0000000000005116E-2</v>
      </c>
      <c r="M80" s="377">
        <f t="shared" si="71"/>
        <v>0</v>
      </c>
      <c r="N80" s="377">
        <f t="shared" si="71"/>
        <v>0</v>
      </c>
      <c r="P80" s="377"/>
      <c r="Q80" s="377"/>
      <c r="R80" s="377"/>
      <c r="S80" s="377"/>
      <c r="T80" s="377">
        <f t="shared" ref="T80:W80" si="72">T5-(T6+T34+T74+T76)</f>
        <v>0</v>
      </c>
      <c r="U80" s="377">
        <f t="shared" si="72"/>
        <v>-9.9999999999994316E-2</v>
      </c>
      <c r="V80" s="377">
        <f t="shared" si="72"/>
        <v>0</v>
      </c>
      <c r="W80" s="377">
        <f t="shared" si="72"/>
        <v>0</v>
      </c>
    </row>
  </sheetData>
  <mergeCells count="8">
    <mergeCell ref="P2:S2"/>
    <mergeCell ref="T2:W2"/>
    <mergeCell ref="X2:AB2"/>
    <mergeCell ref="A1:F1"/>
    <mergeCell ref="A2:A4"/>
    <mergeCell ref="B2:F2"/>
    <mergeCell ref="G2:J2"/>
    <mergeCell ref="K2:N2"/>
  </mergeCells>
  <conditionalFormatting sqref="F5:F9">
    <cfRule type="cellIs" dxfId="9" priority="67" operator="lessThan">
      <formula>0</formula>
    </cfRule>
  </conditionalFormatting>
  <conditionalFormatting sqref="F12">
    <cfRule type="cellIs" dxfId="8" priority="66" operator="lessThan">
      <formula>0</formula>
    </cfRule>
  </conditionalFormatting>
  <conditionalFormatting sqref="F15">
    <cfRule type="cellIs" dxfId="7" priority="65" operator="lessThan">
      <formula>0</formula>
    </cfRule>
  </conditionalFormatting>
  <conditionalFormatting sqref="F18:F23">
    <cfRule type="cellIs" dxfId="6" priority="59" operator="lessThan">
      <formula>0</formula>
    </cfRule>
  </conditionalFormatting>
  <conditionalFormatting sqref="F26">
    <cfRule type="cellIs" dxfId="5" priority="58" operator="lessThan">
      <formula>0</formula>
    </cfRule>
  </conditionalFormatting>
  <conditionalFormatting sqref="F29:F31">
    <cfRule type="cellIs" dxfId="4" priority="55" operator="lessThan">
      <formula>0</formula>
    </cfRule>
  </conditionalFormatting>
  <conditionalFormatting sqref="F34:F75">
    <cfRule type="cellIs" dxfId="3" priority="13" operator="lessThan">
      <formula>0</formula>
    </cfRule>
  </conditionalFormatting>
  <conditionalFormatting sqref="G5:J75">
    <cfRule type="cellIs" dxfId="2" priority="4" operator="lessThan">
      <formula>0</formula>
    </cfRule>
  </conditionalFormatting>
  <conditionalFormatting sqref="P5:W76">
    <cfRule type="expression" dxfId="1" priority="1">
      <formula>LEN(P5&amp;"")-FIND(".",P5&amp;"")&gt;1</formula>
    </cfRule>
  </conditionalFormatting>
  <conditionalFormatting sqref="Q5:W5 Q6:S76 P10:S76 T12:W12 T15:W15 T18:W23 T26:W26 T29:W31 T34:W76">
    <cfRule type="expression" dxfId="0" priority="2">
      <formula>LEN(P5&amp;"")-FIND(".",P5&amp;"")&gt;1</formula>
    </cfRule>
  </conditionalFormatting>
  <printOptions horizontalCentered="1" verticalCentered="1"/>
  <pageMargins left="0.23622047244094499" right="0.23622047244094499" top="0" bottom="0" header="0.23622047244094499" footer="0"/>
  <pageSetup paperSize="9" scale="53" orientation="portrait" r:id="rId1"/>
  <headerFooter scaleWithDoc="0">
    <oddHeader>&amp;R&amp;"TH Sarabun New,Regular"&amp;12&amp;K000000ตาราง 3 สินค้า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09"/>
  <sheetViews>
    <sheetView zoomScale="85" zoomScaleNormal="85" workbookViewId="0">
      <selection activeCell="E4" sqref="E4"/>
    </sheetView>
  </sheetViews>
  <sheetFormatPr defaultColWidth="11.375" defaultRowHeight="15.6"/>
  <cols>
    <col min="1" max="1" width="38" style="290" customWidth="1"/>
    <col min="2" max="2" width="20.25" style="290" bestFit="1" customWidth="1"/>
    <col min="3" max="5" width="17.75" style="290" bestFit="1" customWidth="1"/>
    <col min="6" max="6" width="20.25" style="290" bestFit="1" customWidth="1"/>
    <col min="7" max="7" width="12" style="290" bestFit="1" customWidth="1"/>
    <col min="8" max="9" width="12.75" style="290" bestFit="1" customWidth="1"/>
    <col min="10" max="10" width="12" style="290" bestFit="1" customWidth="1"/>
    <col min="11" max="14" width="14.375" style="290" bestFit="1" customWidth="1"/>
    <col min="15" max="19" width="11.375" style="290"/>
    <col min="20" max="20" width="14.375" style="290" bestFit="1" customWidth="1"/>
    <col min="21" max="16384" width="11.375" style="290"/>
  </cols>
  <sheetData>
    <row r="1" spans="1:22">
      <c r="A1" s="290" t="s">
        <v>9</v>
      </c>
      <c r="B1" s="290" t="s">
        <v>103</v>
      </c>
      <c r="G1" s="290" t="s">
        <v>39</v>
      </c>
      <c r="K1" s="290" t="s">
        <v>40</v>
      </c>
    </row>
    <row r="2" spans="1:22" s="351" customFormat="1">
      <c r="B2" s="351">
        <v>2567</v>
      </c>
      <c r="C2" s="351">
        <v>2567</v>
      </c>
      <c r="D2" s="351">
        <v>2568</v>
      </c>
      <c r="E2" s="351">
        <v>2568</v>
      </c>
      <c r="F2" s="351">
        <v>2568</v>
      </c>
      <c r="G2" s="351">
        <v>2567</v>
      </c>
      <c r="H2" s="351">
        <v>2568</v>
      </c>
      <c r="I2" s="351">
        <v>2568</v>
      </c>
      <c r="J2" s="351">
        <v>2568</v>
      </c>
      <c r="K2" s="351">
        <v>2567</v>
      </c>
      <c r="L2" s="351">
        <v>2568</v>
      </c>
      <c r="M2" s="351">
        <v>2568</v>
      </c>
      <c r="N2" s="351">
        <v>2568</v>
      </c>
      <c r="Q2" s="381" t="s">
        <v>235</v>
      </c>
    </row>
    <row r="3" spans="1:22" s="351" customFormat="1">
      <c r="B3" s="351" t="s">
        <v>41</v>
      </c>
      <c r="C3" s="382" t="str">
        <f>INDEX($S$3:$S$14,MATCH($Q$3,$R$3:$R$14,0))</f>
        <v>ต.ค.</v>
      </c>
      <c r="D3" s="382" t="str">
        <f>INDEX($S$3:$S$14,MATCH($Q$3-1,$R$3:$R$14,0))</f>
        <v>ก.ย.</v>
      </c>
      <c r="E3" s="382" t="str">
        <f>INDEX($S$3:$S$14,MATCH($Q$3,$R$3:$R$14,0))</f>
        <v>ต.ค.</v>
      </c>
      <c r="F3" s="382" t="str">
        <f>"ม.ค.-"&amp;INDEX($S$3:$S$14,MATCH($Q$3,$R$3:$R$14,0))</f>
        <v>ม.ค.-ต.ค.</v>
      </c>
      <c r="G3" s="351" t="s">
        <v>41</v>
      </c>
      <c r="H3" s="382" t="str">
        <f>INDEX($S$3:$S$14,MATCH($Q$3-1,$R$3:$R$14,0))</f>
        <v>ก.ย.</v>
      </c>
      <c r="I3" s="382" t="str">
        <f>INDEX($S$3:$S$14,MATCH($Q$3,$R$3:$R$14,0))</f>
        <v>ต.ค.</v>
      </c>
      <c r="J3" s="382" t="str">
        <f>"ม.ค.-"&amp;INDEX($S$3:$S$14,MATCH($Q$3,$R$3:$R$14,0))</f>
        <v>ม.ค.-ต.ค.</v>
      </c>
      <c r="K3" s="351" t="s">
        <v>41</v>
      </c>
      <c r="L3" s="382" t="str">
        <f>INDEX($S$3:$S$14,MATCH($Q$3-1,$R$3:$R$14,0))</f>
        <v>ก.ย.</v>
      </c>
      <c r="M3" s="382" t="str">
        <f>INDEX($S$3:$S$14,MATCH($Q$3,$R$3:$R$14,0))</f>
        <v>ต.ค.</v>
      </c>
      <c r="N3" s="382" t="str">
        <f>"ม.ค.-"&amp;INDEX($S$3:$S$14,MATCH($Q$3,$R$3:$R$14,0))</f>
        <v>ม.ค.-ต.ค.</v>
      </c>
      <c r="Q3" s="378">
        <v>10</v>
      </c>
      <c r="R3" s="380">
        <v>1</v>
      </c>
      <c r="S3" s="380" t="s">
        <v>220</v>
      </c>
      <c r="T3" s="380" t="s">
        <v>129</v>
      </c>
    </row>
    <row r="4" spans="1:22">
      <c r="A4" s="290" t="s">
        <v>42</v>
      </c>
      <c r="B4" s="379">
        <v>300739.78999999998</v>
      </c>
      <c r="C4" s="379">
        <v>27290.14</v>
      </c>
      <c r="D4" s="379">
        <v>30970.7</v>
      </c>
      <c r="E4" s="379">
        <v>28835.59</v>
      </c>
      <c r="F4" s="379">
        <v>282982.08</v>
      </c>
      <c r="G4" s="379">
        <v>5.5</v>
      </c>
      <c r="H4" s="379">
        <v>19</v>
      </c>
      <c r="I4" s="379">
        <v>5.66</v>
      </c>
      <c r="J4" s="379">
        <v>13.04</v>
      </c>
      <c r="K4" s="379">
        <v>100</v>
      </c>
      <c r="L4" s="379">
        <v>100</v>
      </c>
      <c r="M4" s="379">
        <v>100</v>
      </c>
      <c r="N4" s="379">
        <v>100</v>
      </c>
      <c r="R4" s="380">
        <v>2</v>
      </c>
      <c r="S4" s="380" t="s">
        <v>221</v>
      </c>
      <c r="T4" s="380" t="s">
        <v>130</v>
      </c>
    </row>
    <row r="5" spans="1:22">
      <c r="A5" s="290" t="s">
        <v>43</v>
      </c>
      <c r="B5" s="379">
        <v>52283.13</v>
      </c>
      <c r="C5" s="379">
        <v>4239</v>
      </c>
      <c r="D5" s="379">
        <v>4010.18</v>
      </c>
      <c r="E5" s="379">
        <v>4022.67</v>
      </c>
      <c r="F5" s="379">
        <v>44371.61</v>
      </c>
      <c r="G5" s="379">
        <v>6.15</v>
      </c>
      <c r="H5" s="379">
        <v>-8.1199999999999992</v>
      </c>
      <c r="I5" s="379">
        <v>-5.0999999999999996</v>
      </c>
      <c r="J5" s="379">
        <v>0.03</v>
      </c>
      <c r="K5" s="379">
        <v>17.38</v>
      </c>
      <c r="L5" s="379">
        <v>12.95</v>
      </c>
      <c r="M5" s="379">
        <v>13.95</v>
      </c>
      <c r="N5" s="379">
        <v>15.68</v>
      </c>
      <c r="R5" s="380">
        <v>3</v>
      </c>
      <c r="S5" s="380" t="s">
        <v>222</v>
      </c>
      <c r="T5" s="380" t="s">
        <v>131</v>
      </c>
    </row>
    <row r="6" spans="1:22">
      <c r="A6" s="290" t="s">
        <v>44</v>
      </c>
      <c r="B6" s="379">
        <v>28862.53</v>
      </c>
      <c r="C6" s="379">
        <v>2299.4899999999998</v>
      </c>
      <c r="D6" s="379">
        <v>1955.53</v>
      </c>
      <c r="E6" s="379">
        <v>1963.56</v>
      </c>
      <c r="F6" s="379">
        <v>23730.36</v>
      </c>
      <c r="G6" s="379">
        <v>7.64</v>
      </c>
      <c r="H6" s="379">
        <v>-18.190000000000001</v>
      </c>
      <c r="I6" s="379">
        <v>-14.61</v>
      </c>
      <c r="J6" s="379">
        <v>-3.43</v>
      </c>
      <c r="K6" s="379">
        <v>9.6</v>
      </c>
      <c r="L6" s="379">
        <v>6.31</v>
      </c>
      <c r="M6" s="379">
        <v>6.81</v>
      </c>
      <c r="N6" s="379">
        <v>8.39</v>
      </c>
      <c r="R6" s="380">
        <v>4</v>
      </c>
      <c r="S6" s="380" t="s">
        <v>223</v>
      </c>
      <c r="T6" s="380" t="s">
        <v>132</v>
      </c>
    </row>
    <row r="7" spans="1:22">
      <c r="A7" s="290" t="s">
        <v>45</v>
      </c>
      <c r="B7" s="379">
        <v>23420.61</v>
      </c>
      <c r="C7" s="379">
        <v>1939.5</v>
      </c>
      <c r="D7" s="379">
        <v>2054.65</v>
      </c>
      <c r="E7" s="379">
        <v>2059.1</v>
      </c>
      <c r="F7" s="379">
        <v>20641.240000000002</v>
      </c>
      <c r="G7" s="379">
        <v>4.37</v>
      </c>
      <c r="H7" s="379">
        <v>4.09</v>
      </c>
      <c r="I7" s="379">
        <v>6.17</v>
      </c>
      <c r="J7" s="379">
        <v>4.33</v>
      </c>
      <c r="K7" s="379">
        <v>7.79</v>
      </c>
      <c r="L7" s="379">
        <v>6.63</v>
      </c>
      <c r="M7" s="379">
        <v>7.14</v>
      </c>
      <c r="N7" s="379">
        <v>7.29</v>
      </c>
      <c r="R7" s="380">
        <v>5</v>
      </c>
      <c r="S7" s="380" t="s">
        <v>224</v>
      </c>
      <c r="T7" s="380" t="s">
        <v>133</v>
      </c>
    </row>
    <row r="8" spans="1:22">
      <c r="A8" s="290" t="s">
        <v>46</v>
      </c>
      <c r="B8" s="379">
        <v>6455.39</v>
      </c>
      <c r="C8" s="379">
        <v>577.08000000000004</v>
      </c>
      <c r="D8" s="379">
        <v>398.56</v>
      </c>
      <c r="E8" s="379">
        <v>354.25</v>
      </c>
      <c r="F8" s="379">
        <v>3740.22</v>
      </c>
      <c r="G8" s="379">
        <v>25.41</v>
      </c>
      <c r="H8" s="379">
        <v>-31.39</v>
      </c>
      <c r="I8" s="379">
        <v>-38.61</v>
      </c>
      <c r="J8" s="379">
        <v>-31.51</v>
      </c>
      <c r="K8" s="379">
        <v>2.15</v>
      </c>
      <c r="L8" s="379">
        <v>1.29</v>
      </c>
      <c r="M8" s="379">
        <v>1.23</v>
      </c>
      <c r="N8" s="379">
        <v>1.32</v>
      </c>
      <c r="R8" s="380">
        <v>6</v>
      </c>
      <c r="S8" s="380" t="s">
        <v>225</v>
      </c>
      <c r="T8" s="380" t="s">
        <v>134</v>
      </c>
    </row>
    <row r="9" spans="1:22">
      <c r="A9" s="290" t="s">
        <v>47</v>
      </c>
      <c r="B9" s="379">
        <v>9987265.2400000002</v>
      </c>
      <c r="C9" s="379">
        <v>901344.57</v>
      </c>
      <c r="D9" s="379">
        <v>762582.45</v>
      </c>
      <c r="E9" s="379">
        <v>625413.74</v>
      </c>
      <c r="F9" s="379">
        <v>6424445.8799999999</v>
      </c>
      <c r="G9" s="379">
        <v>13.89</v>
      </c>
      <c r="H9" s="379">
        <v>-15.62</v>
      </c>
      <c r="I9" s="379">
        <v>-30.61</v>
      </c>
      <c r="J9" s="379">
        <v>-23.87</v>
      </c>
      <c r="K9" s="379">
        <v>3320.9</v>
      </c>
      <c r="L9" s="379">
        <v>2462.27</v>
      </c>
      <c r="M9" s="379">
        <v>2168.9</v>
      </c>
      <c r="N9" s="379">
        <v>2270.27</v>
      </c>
      <c r="R9" s="380">
        <v>7</v>
      </c>
      <c r="S9" s="380" t="s">
        <v>226</v>
      </c>
      <c r="T9" s="380" t="s">
        <v>135</v>
      </c>
    </row>
    <row r="10" spans="1:22">
      <c r="A10" s="290" t="s">
        <v>48</v>
      </c>
      <c r="B10" s="379">
        <v>4992.32</v>
      </c>
      <c r="C10" s="379">
        <v>456.12</v>
      </c>
      <c r="D10" s="379">
        <v>367.88</v>
      </c>
      <c r="E10" s="379">
        <v>398.95</v>
      </c>
      <c r="F10" s="379">
        <v>4203.5600000000004</v>
      </c>
      <c r="G10" s="379">
        <v>36.83</v>
      </c>
      <c r="H10" s="379">
        <v>-15.43</v>
      </c>
      <c r="I10" s="379">
        <v>-12.53</v>
      </c>
      <c r="J10" s="379">
        <v>1.92</v>
      </c>
      <c r="K10" s="379">
        <v>1.66</v>
      </c>
      <c r="L10" s="379">
        <v>1.19</v>
      </c>
      <c r="M10" s="379">
        <v>1.38</v>
      </c>
      <c r="N10" s="379">
        <v>1.49</v>
      </c>
      <c r="R10" s="380">
        <v>8</v>
      </c>
      <c r="S10" s="380" t="s">
        <v>227</v>
      </c>
      <c r="T10" s="380" t="s">
        <v>136</v>
      </c>
    </row>
    <row r="11" spans="1:22">
      <c r="A11" s="290" t="s">
        <v>47</v>
      </c>
      <c r="B11" s="379">
        <v>2816944.14</v>
      </c>
      <c r="C11" s="379">
        <v>224754.15</v>
      </c>
      <c r="D11" s="379">
        <v>204095.31</v>
      </c>
      <c r="E11" s="379">
        <v>220084.01</v>
      </c>
      <c r="F11" s="379">
        <v>2214071.52</v>
      </c>
      <c r="G11" s="379">
        <v>3.43</v>
      </c>
      <c r="H11" s="379">
        <v>-10.5</v>
      </c>
      <c r="I11" s="379">
        <v>-2.08</v>
      </c>
      <c r="J11" s="379">
        <v>-7.47</v>
      </c>
      <c r="K11" s="379">
        <v>936.67</v>
      </c>
      <c r="L11" s="379">
        <v>658.99</v>
      </c>
      <c r="M11" s="379">
        <v>763.24</v>
      </c>
      <c r="N11" s="379">
        <v>782.41</v>
      </c>
      <c r="R11" s="380">
        <v>9</v>
      </c>
      <c r="S11" s="380" t="s">
        <v>228</v>
      </c>
      <c r="T11" s="380" t="s">
        <v>137</v>
      </c>
    </row>
    <row r="12" spans="1:22">
      <c r="A12" s="290" t="s">
        <v>104</v>
      </c>
      <c r="B12" s="379">
        <v>810.87</v>
      </c>
      <c r="C12" s="379">
        <v>85.6</v>
      </c>
      <c r="D12" s="379">
        <v>99.65</v>
      </c>
      <c r="E12" s="379">
        <v>101.05</v>
      </c>
      <c r="F12" s="379">
        <v>841.65</v>
      </c>
      <c r="G12" s="379">
        <v>43.18</v>
      </c>
      <c r="H12" s="379">
        <v>23.22</v>
      </c>
      <c r="I12" s="379">
        <v>18.05</v>
      </c>
      <c r="J12" s="379">
        <v>33.200000000000003</v>
      </c>
      <c r="K12" s="379">
        <v>0.27</v>
      </c>
      <c r="L12" s="379">
        <v>0.32</v>
      </c>
      <c r="M12" s="379">
        <v>0.35</v>
      </c>
      <c r="N12" s="379">
        <v>0.3</v>
      </c>
      <c r="R12" s="380">
        <v>10</v>
      </c>
      <c r="S12" s="380" t="s">
        <v>218</v>
      </c>
      <c r="T12" s="380" t="s">
        <v>138</v>
      </c>
    </row>
    <row r="13" spans="1:22">
      <c r="A13" s="290" t="s">
        <v>47</v>
      </c>
      <c r="B13" s="379">
        <v>352086.57</v>
      </c>
      <c r="C13" s="379">
        <v>31178.66</v>
      </c>
      <c r="D13" s="379">
        <v>43306.67</v>
      </c>
      <c r="E13" s="379">
        <v>44747.5</v>
      </c>
      <c r="F13" s="379">
        <v>353745.96</v>
      </c>
      <c r="G13" s="379">
        <v>-0.62</v>
      </c>
      <c r="H13" s="379">
        <v>30.17</v>
      </c>
      <c r="I13" s="379">
        <v>43.52</v>
      </c>
      <c r="J13" s="379">
        <v>24.67</v>
      </c>
      <c r="K13" s="379">
        <v>117.07</v>
      </c>
      <c r="L13" s="379">
        <v>139.83000000000001</v>
      </c>
      <c r="M13" s="379">
        <v>155.18</v>
      </c>
      <c r="N13" s="379">
        <v>125.01</v>
      </c>
      <c r="R13" s="380">
        <v>11</v>
      </c>
      <c r="S13" s="380" t="s">
        <v>219</v>
      </c>
      <c r="T13" s="380" t="s">
        <v>139</v>
      </c>
    </row>
    <row r="14" spans="1:22">
      <c r="A14" s="290" t="s">
        <v>105</v>
      </c>
      <c r="B14" s="379">
        <v>3200.76</v>
      </c>
      <c r="C14" s="379">
        <v>277.77999999999997</v>
      </c>
      <c r="D14" s="379">
        <v>188.23</v>
      </c>
      <c r="E14" s="379">
        <v>219.8</v>
      </c>
      <c r="F14" s="379">
        <v>2479.62</v>
      </c>
      <c r="G14" s="379">
        <v>41.97</v>
      </c>
      <c r="H14" s="379">
        <v>-32.96</v>
      </c>
      <c r="I14" s="379">
        <v>-20.87</v>
      </c>
      <c r="J14" s="379">
        <v>-8.49</v>
      </c>
      <c r="K14" s="379">
        <v>1.06</v>
      </c>
      <c r="L14" s="379">
        <v>0.61</v>
      </c>
      <c r="M14" s="379">
        <v>0.76</v>
      </c>
      <c r="N14" s="379">
        <v>0.88</v>
      </c>
      <c r="R14" s="380">
        <v>12</v>
      </c>
      <c r="S14" s="380" t="s">
        <v>229</v>
      </c>
      <c r="T14" s="380" t="s">
        <v>140</v>
      </c>
      <c r="V14" s="383" t="s">
        <v>236</v>
      </c>
    </row>
    <row r="15" spans="1:22">
      <c r="A15" s="290" t="s">
        <v>47</v>
      </c>
      <c r="B15" s="379">
        <v>1758584.15</v>
      </c>
      <c r="C15" s="379">
        <v>133114.12</v>
      </c>
      <c r="D15" s="379">
        <v>98802.51</v>
      </c>
      <c r="E15" s="379">
        <v>115687</v>
      </c>
      <c r="F15" s="379">
        <v>1231888.2</v>
      </c>
      <c r="G15" s="379">
        <v>11.52</v>
      </c>
      <c r="H15" s="379">
        <v>-30.75</v>
      </c>
      <c r="I15" s="379">
        <v>-13.09</v>
      </c>
      <c r="J15" s="379">
        <v>-19.46</v>
      </c>
      <c r="K15" s="379">
        <v>584.75</v>
      </c>
      <c r="L15" s="379">
        <v>319.02</v>
      </c>
      <c r="M15" s="379">
        <v>401.2</v>
      </c>
      <c r="N15" s="379">
        <v>435.32</v>
      </c>
    </row>
    <row r="16" spans="1:22">
      <c r="A16" s="290" t="s">
        <v>106</v>
      </c>
      <c r="B16" s="379">
        <v>2932.29</v>
      </c>
      <c r="C16" s="379">
        <v>248.73</v>
      </c>
      <c r="D16" s="379">
        <v>164.72</v>
      </c>
      <c r="E16" s="379">
        <v>199.96</v>
      </c>
      <c r="F16" s="379">
        <v>2274.33</v>
      </c>
      <c r="G16" s="379">
        <v>43.33</v>
      </c>
      <c r="H16" s="379">
        <v>-34.31</v>
      </c>
      <c r="I16" s="379">
        <v>-19.61</v>
      </c>
      <c r="J16" s="379">
        <v>-8.6</v>
      </c>
      <c r="K16" s="379">
        <v>0.98</v>
      </c>
      <c r="L16" s="379">
        <v>0.53</v>
      </c>
      <c r="M16" s="379">
        <v>0.69</v>
      </c>
      <c r="N16" s="379">
        <v>0.8</v>
      </c>
    </row>
    <row r="17" spans="1:14">
      <c r="A17" s="290" t="s">
        <v>47</v>
      </c>
      <c r="B17" s="379">
        <v>1619196.82</v>
      </c>
      <c r="C17" s="379">
        <v>120266.46</v>
      </c>
      <c r="D17" s="379">
        <v>86973.06</v>
      </c>
      <c r="E17" s="379">
        <v>105859.54</v>
      </c>
      <c r="F17" s="379">
        <v>1134411.94</v>
      </c>
      <c r="G17" s="379">
        <v>12.96</v>
      </c>
      <c r="H17" s="379">
        <v>-32.340000000000003</v>
      </c>
      <c r="I17" s="379">
        <v>-11.98</v>
      </c>
      <c r="J17" s="379">
        <v>-19.64</v>
      </c>
      <c r="K17" s="379">
        <v>538.4</v>
      </c>
      <c r="L17" s="379">
        <v>280.82</v>
      </c>
      <c r="M17" s="379">
        <v>367.11</v>
      </c>
      <c r="N17" s="379">
        <v>400.88</v>
      </c>
    </row>
    <row r="18" spans="1:14">
      <c r="A18" s="290" t="s">
        <v>107</v>
      </c>
      <c r="B18" s="379">
        <v>268.47000000000003</v>
      </c>
      <c r="C18" s="379">
        <v>29.06</v>
      </c>
      <c r="D18" s="379">
        <v>23.5</v>
      </c>
      <c r="E18" s="379">
        <v>19.84</v>
      </c>
      <c r="F18" s="379">
        <v>205.29</v>
      </c>
      <c r="G18" s="379">
        <v>28.63</v>
      </c>
      <c r="H18" s="379">
        <v>-21.72</v>
      </c>
      <c r="I18" s="379">
        <v>-31.73</v>
      </c>
      <c r="J18" s="379">
        <v>-7.23</v>
      </c>
      <c r="K18" s="379">
        <v>0.09</v>
      </c>
      <c r="L18" s="379">
        <v>0.08</v>
      </c>
      <c r="M18" s="379">
        <v>7.0000000000000007E-2</v>
      </c>
      <c r="N18" s="379">
        <v>7.0000000000000007E-2</v>
      </c>
    </row>
    <row r="19" spans="1:14">
      <c r="A19" s="290" t="s">
        <v>47</v>
      </c>
      <c r="B19" s="379">
        <v>139387.32999999999</v>
      </c>
      <c r="C19" s="379">
        <v>12847.66</v>
      </c>
      <c r="D19" s="379">
        <v>11829.45</v>
      </c>
      <c r="E19" s="379">
        <v>9827.4599999999991</v>
      </c>
      <c r="F19" s="379">
        <v>97476.26</v>
      </c>
      <c r="G19" s="379">
        <v>-2.79</v>
      </c>
      <c r="H19" s="379">
        <v>-16.190000000000001</v>
      </c>
      <c r="I19" s="379">
        <v>-23.51</v>
      </c>
      <c r="J19" s="379">
        <v>-17.38</v>
      </c>
      <c r="K19" s="379">
        <v>46.35</v>
      </c>
      <c r="L19" s="379">
        <v>38.200000000000003</v>
      </c>
      <c r="M19" s="379">
        <v>34.08</v>
      </c>
      <c r="N19" s="379">
        <v>34.450000000000003</v>
      </c>
    </row>
    <row r="20" spans="1:14">
      <c r="A20" s="290" t="s">
        <v>108</v>
      </c>
      <c r="B20" s="379">
        <v>942.81</v>
      </c>
      <c r="C20" s="379">
        <v>83.69</v>
      </c>
      <c r="D20" s="379">
        <v>77.47</v>
      </c>
      <c r="E20" s="379">
        <v>75.760000000000005</v>
      </c>
      <c r="F20" s="379">
        <v>859.36</v>
      </c>
      <c r="G20" s="379">
        <v>17.010000000000002</v>
      </c>
      <c r="H20" s="379">
        <v>10.62</v>
      </c>
      <c r="I20" s="379">
        <v>-9.48</v>
      </c>
      <c r="J20" s="379">
        <v>13.83</v>
      </c>
      <c r="K20" s="379">
        <v>0.31</v>
      </c>
      <c r="L20" s="379">
        <v>0.25</v>
      </c>
      <c r="M20" s="379">
        <v>0.26</v>
      </c>
      <c r="N20" s="379">
        <v>0.3</v>
      </c>
    </row>
    <row r="21" spans="1:14">
      <c r="A21" s="290" t="s">
        <v>47</v>
      </c>
      <c r="B21" s="379">
        <v>678639.88</v>
      </c>
      <c r="C21" s="379">
        <v>53746.06</v>
      </c>
      <c r="D21" s="379">
        <v>60253.66</v>
      </c>
      <c r="E21" s="379">
        <v>58008.62</v>
      </c>
      <c r="F21" s="379">
        <v>613222.80000000005</v>
      </c>
      <c r="G21" s="379">
        <v>-12.22</v>
      </c>
      <c r="H21" s="379">
        <v>20.73</v>
      </c>
      <c r="I21" s="379">
        <v>7.93</v>
      </c>
      <c r="J21" s="379">
        <v>9.76</v>
      </c>
      <c r="K21" s="379">
        <v>225.66</v>
      </c>
      <c r="L21" s="379">
        <v>194.55</v>
      </c>
      <c r="M21" s="379">
        <v>201.17</v>
      </c>
      <c r="N21" s="379">
        <v>216.7</v>
      </c>
    </row>
    <row r="22" spans="1:14">
      <c r="A22" s="290" t="s">
        <v>109</v>
      </c>
      <c r="B22" s="379">
        <v>37.880000000000003</v>
      </c>
      <c r="C22" s="379">
        <v>9.0500000000000007</v>
      </c>
      <c r="D22" s="379">
        <v>2.5299999999999998</v>
      </c>
      <c r="E22" s="379">
        <v>2.34</v>
      </c>
      <c r="F22" s="379">
        <v>22.93</v>
      </c>
      <c r="G22" s="379">
        <v>72.81</v>
      </c>
      <c r="H22" s="379">
        <v>-24.48</v>
      </c>
      <c r="I22" s="379">
        <v>-74.14</v>
      </c>
      <c r="J22" s="379">
        <v>-18.43</v>
      </c>
      <c r="K22" s="379">
        <v>0.01</v>
      </c>
      <c r="L22" s="379">
        <v>0.01</v>
      </c>
      <c r="M22" s="379">
        <v>0.01</v>
      </c>
      <c r="N22" s="379">
        <v>0.01</v>
      </c>
    </row>
    <row r="23" spans="1:14">
      <c r="A23" s="290" t="s">
        <v>47</v>
      </c>
      <c r="B23" s="379">
        <v>27633.55</v>
      </c>
      <c r="C23" s="379">
        <v>6715.31</v>
      </c>
      <c r="D23" s="379">
        <v>1732.48</v>
      </c>
      <c r="E23" s="379">
        <v>1640.9</v>
      </c>
      <c r="F23" s="379">
        <v>15214.57</v>
      </c>
      <c r="G23" s="379">
        <v>42.6</v>
      </c>
      <c r="H23" s="379">
        <v>-21.04</v>
      </c>
      <c r="I23" s="379">
        <v>-75.56</v>
      </c>
      <c r="J23" s="379">
        <v>-26.44</v>
      </c>
      <c r="K23" s="379">
        <v>9.19</v>
      </c>
      <c r="L23" s="379">
        <v>5.59</v>
      </c>
      <c r="M23" s="379">
        <v>5.69</v>
      </c>
      <c r="N23" s="379">
        <v>5.38</v>
      </c>
    </row>
    <row r="24" spans="1:14">
      <c r="A24" s="290" t="s">
        <v>49</v>
      </c>
      <c r="B24" s="379">
        <v>3146.76</v>
      </c>
      <c r="C24" s="379">
        <v>230.14</v>
      </c>
      <c r="D24" s="379">
        <v>207.39</v>
      </c>
      <c r="E24" s="379">
        <v>186.06</v>
      </c>
      <c r="F24" s="379">
        <v>2500.9299999999998</v>
      </c>
      <c r="G24" s="379">
        <v>-15.27</v>
      </c>
      <c r="H24" s="379">
        <v>-9.82</v>
      </c>
      <c r="I24" s="379">
        <v>-19.149999999999999</v>
      </c>
      <c r="J24" s="379">
        <v>-7.44</v>
      </c>
      <c r="K24" s="379">
        <v>1.05</v>
      </c>
      <c r="L24" s="379">
        <v>0.67</v>
      </c>
      <c r="M24" s="379">
        <v>0.65</v>
      </c>
      <c r="N24" s="379">
        <v>0.88</v>
      </c>
    </row>
    <row r="25" spans="1:14">
      <c r="A25" s="290" t="s">
        <v>47</v>
      </c>
      <c r="B25" s="379">
        <v>6524348.5999999996</v>
      </c>
      <c r="C25" s="379">
        <v>468508.99</v>
      </c>
      <c r="D25" s="379">
        <v>536211.31999999995</v>
      </c>
      <c r="E25" s="379">
        <v>395338.76</v>
      </c>
      <c r="F25" s="379">
        <v>7306020.4800000004</v>
      </c>
      <c r="G25" s="379">
        <v>-24.89</v>
      </c>
      <c r="H25" s="379">
        <v>18.05</v>
      </c>
      <c r="I25" s="379">
        <v>-15.62</v>
      </c>
      <c r="J25" s="379">
        <v>30.82</v>
      </c>
      <c r="K25" s="379">
        <v>2169.4299999999998</v>
      </c>
      <c r="L25" s="379">
        <v>1731.35</v>
      </c>
      <c r="M25" s="379">
        <v>1371.01</v>
      </c>
      <c r="N25" s="379">
        <v>2581.8000000000002</v>
      </c>
    </row>
    <row r="26" spans="1:14">
      <c r="A26" s="290" t="s">
        <v>110</v>
      </c>
      <c r="B26" s="379">
        <v>494.9</v>
      </c>
      <c r="C26" s="379">
        <v>23.09</v>
      </c>
      <c r="D26" s="379">
        <v>49.48</v>
      </c>
      <c r="E26" s="379">
        <v>14.93</v>
      </c>
      <c r="F26" s="379">
        <v>717.37</v>
      </c>
      <c r="G26" s="379">
        <v>-58.15</v>
      </c>
      <c r="H26" s="379">
        <v>77.540000000000006</v>
      </c>
      <c r="I26" s="379">
        <v>-35.340000000000003</v>
      </c>
      <c r="J26" s="379">
        <v>56.79</v>
      </c>
      <c r="K26" s="379">
        <v>0.16</v>
      </c>
      <c r="L26" s="379">
        <v>0.16</v>
      </c>
      <c r="M26" s="379">
        <v>0.05</v>
      </c>
      <c r="N26" s="379">
        <v>0.25</v>
      </c>
    </row>
    <row r="27" spans="1:14">
      <c r="A27" s="290" t="s">
        <v>47</v>
      </c>
      <c r="B27" s="379">
        <v>2092540.1</v>
      </c>
      <c r="C27" s="379">
        <v>99123.06</v>
      </c>
      <c r="D27" s="379">
        <v>233995.9</v>
      </c>
      <c r="E27" s="379">
        <v>70292.7</v>
      </c>
      <c r="F27" s="379">
        <v>3764469.65</v>
      </c>
      <c r="G27" s="379">
        <v>-54.06</v>
      </c>
      <c r="H27" s="379">
        <v>97.97</v>
      </c>
      <c r="I27" s="379">
        <v>-29.09</v>
      </c>
      <c r="J27" s="379">
        <v>96.79</v>
      </c>
      <c r="K27" s="379">
        <v>695.8</v>
      </c>
      <c r="L27" s="379">
        <v>755.54</v>
      </c>
      <c r="M27" s="379">
        <v>243.77</v>
      </c>
      <c r="N27" s="379">
        <v>1330.29</v>
      </c>
    </row>
    <row r="28" spans="1:14">
      <c r="A28" s="290" t="s">
        <v>111</v>
      </c>
      <c r="B28" s="379">
        <v>1644.52</v>
      </c>
      <c r="C28" s="379">
        <v>114.29</v>
      </c>
      <c r="D28" s="379">
        <v>80.900000000000006</v>
      </c>
      <c r="E28" s="379">
        <v>89.48</v>
      </c>
      <c r="F28" s="379">
        <v>999.41</v>
      </c>
      <c r="G28" s="379">
        <v>8.17</v>
      </c>
      <c r="H28" s="379">
        <v>-32.340000000000003</v>
      </c>
      <c r="I28" s="379">
        <v>-21.71</v>
      </c>
      <c r="J28" s="379">
        <v>-28.66</v>
      </c>
      <c r="K28" s="379">
        <v>0.55000000000000004</v>
      </c>
      <c r="L28" s="379">
        <v>0.26</v>
      </c>
      <c r="M28" s="379">
        <v>0.31</v>
      </c>
      <c r="N28" s="379">
        <v>0.35</v>
      </c>
    </row>
    <row r="29" spans="1:14">
      <c r="A29" s="290" t="s">
        <v>47</v>
      </c>
      <c r="B29" s="379">
        <v>3205773.16</v>
      </c>
      <c r="C29" s="379">
        <v>233996.11</v>
      </c>
      <c r="D29" s="379">
        <v>196306.8</v>
      </c>
      <c r="E29" s="379">
        <v>216431.48</v>
      </c>
      <c r="F29" s="379">
        <v>2487364.79</v>
      </c>
      <c r="G29" s="379">
        <v>11.69</v>
      </c>
      <c r="H29" s="379">
        <v>-18.46</v>
      </c>
      <c r="I29" s="379">
        <v>-7.51</v>
      </c>
      <c r="J29" s="379">
        <v>-6.3</v>
      </c>
      <c r="K29" s="379">
        <v>1065.96</v>
      </c>
      <c r="L29" s="379">
        <v>633.85</v>
      </c>
      <c r="M29" s="379">
        <v>750.57</v>
      </c>
      <c r="N29" s="379">
        <v>878.98</v>
      </c>
    </row>
    <row r="30" spans="1:14">
      <c r="A30" s="290" t="s">
        <v>50</v>
      </c>
      <c r="B30" s="379">
        <v>28695.26</v>
      </c>
      <c r="C30" s="379">
        <v>2281.3200000000002</v>
      </c>
      <c r="D30" s="379">
        <v>2318.92</v>
      </c>
      <c r="E30" s="379">
        <v>2413.36</v>
      </c>
      <c r="F30" s="379">
        <v>26341.55</v>
      </c>
      <c r="G30" s="379">
        <v>4</v>
      </c>
      <c r="H30" s="379">
        <v>-4.17</v>
      </c>
      <c r="I30" s="379">
        <v>5.79</v>
      </c>
      <c r="J30" s="379">
        <v>8.26</v>
      </c>
      <c r="K30" s="379">
        <v>9.5399999999999991</v>
      </c>
      <c r="L30" s="379">
        <v>7.49</v>
      </c>
      <c r="M30" s="379">
        <v>8.3699999999999992</v>
      </c>
      <c r="N30" s="379">
        <v>9.31</v>
      </c>
    </row>
    <row r="31" spans="1:14">
      <c r="A31" s="290" t="s">
        <v>51</v>
      </c>
      <c r="B31" s="379">
        <v>5390.37</v>
      </c>
      <c r="C31" s="379">
        <v>504.67</v>
      </c>
      <c r="D31" s="379">
        <v>486.96</v>
      </c>
      <c r="E31" s="379">
        <v>506.75</v>
      </c>
      <c r="F31" s="379">
        <v>4432.09</v>
      </c>
      <c r="G31" s="379">
        <v>7.75</v>
      </c>
      <c r="H31" s="379">
        <v>0.88</v>
      </c>
      <c r="I31" s="379">
        <v>0.41</v>
      </c>
      <c r="J31" s="379">
        <v>-0.64</v>
      </c>
      <c r="K31" s="379">
        <v>1.79</v>
      </c>
      <c r="L31" s="379">
        <v>1.57</v>
      </c>
      <c r="M31" s="379">
        <v>1.76</v>
      </c>
      <c r="N31" s="379">
        <v>1.57</v>
      </c>
    </row>
    <row r="32" spans="1:14">
      <c r="A32" s="290" t="s">
        <v>112</v>
      </c>
      <c r="B32" s="379">
        <v>4467.2700000000004</v>
      </c>
      <c r="C32" s="379">
        <v>410.87</v>
      </c>
      <c r="D32" s="379">
        <v>381.86</v>
      </c>
      <c r="E32" s="379">
        <v>389.53</v>
      </c>
      <c r="F32" s="379">
        <v>3591.69</v>
      </c>
      <c r="G32" s="379">
        <v>11.64</v>
      </c>
      <c r="H32" s="379">
        <v>-2.4900000000000002</v>
      </c>
      <c r="I32" s="379">
        <v>-5.19</v>
      </c>
      <c r="J32" s="379">
        <v>-3.04</v>
      </c>
      <c r="K32" s="379">
        <v>1.49</v>
      </c>
      <c r="L32" s="379">
        <v>1.23</v>
      </c>
      <c r="M32" s="379">
        <v>1.35</v>
      </c>
      <c r="N32" s="379">
        <v>1.27</v>
      </c>
    </row>
    <row r="33" spans="1:14">
      <c r="A33" s="290" t="s">
        <v>52</v>
      </c>
      <c r="B33" s="379">
        <v>2344.44</v>
      </c>
      <c r="C33" s="379">
        <v>217.66</v>
      </c>
      <c r="D33" s="379">
        <v>213.2</v>
      </c>
      <c r="E33" s="379">
        <v>209.8</v>
      </c>
      <c r="F33" s="379">
        <v>1944.51</v>
      </c>
      <c r="G33" s="379">
        <v>21.84</v>
      </c>
      <c r="H33" s="379">
        <v>0</v>
      </c>
      <c r="I33" s="379">
        <v>-3.61</v>
      </c>
      <c r="J33" s="379">
        <v>-0.23</v>
      </c>
      <c r="K33" s="379">
        <v>0.78</v>
      </c>
      <c r="L33" s="379">
        <v>0.69</v>
      </c>
      <c r="M33" s="379">
        <v>0.73</v>
      </c>
      <c r="N33" s="379">
        <v>0.69</v>
      </c>
    </row>
    <row r="34" spans="1:14">
      <c r="A34" s="290" t="s">
        <v>47</v>
      </c>
      <c r="B34" s="379">
        <v>548681.36</v>
      </c>
      <c r="C34" s="379">
        <v>51974.63</v>
      </c>
      <c r="D34" s="379">
        <v>49369.42</v>
      </c>
      <c r="E34" s="379">
        <v>48794.99</v>
      </c>
      <c r="F34" s="379">
        <v>450873.41</v>
      </c>
      <c r="G34" s="379">
        <v>31.99</v>
      </c>
      <c r="H34" s="379">
        <v>-2.2999999999999998</v>
      </c>
      <c r="I34" s="379">
        <v>-6.12</v>
      </c>
      <c r="J34" s="379">
        <v>-0.84</v>
      </c>
      <c r="K34" s="379">
        <v>182.44</v>
      </c>
      <c r="L34" s="379">
        <v>159.41</v>
      </c>
      <c r="M34" s="379">
        <v>169.22</v>
      </c>
      <c r="N34" s="379">
        <v>159.33000000000001</v>
      </c>
    </row>
    <row r="35" spans="1:14">
      <c r="A35" s="290" t="s">
        <v>53</v>
      </c>
      <c r="B35" s="379">
        <v>923.1</v>
      </c>
      <c r="C35" s="379">
        <v>93.8</v>
      </c>
      <c r="D35" s="379">
        <v>105.1</v>
      </c>
      <c r="E35" s="379">
        <v>117.22</v>
      </c>
      <c r="F35" s="379">
        <v>840.41</v>
      </c>
      <c r="G35" s="379">
        <v>-7.8</v>
      </c>
      <c r="H35" s="379">
        <v>15.37</v>
      </c>
      <c r="I35" s="379">
        <v>24.97</v>
      </c>
      <c r="J35" s="379">
        <v>11.14</v>
      </c>
      <c r="K35" s="379">
        <v>0.31</v>
      </c>
      <c r="L35" s="379">
        <v>0.34</v>
      </c>
      <c r="M35" s="379">
        <v>0.41</v>
      </c>
      <c r="N35" s="379">
        <v>0.3</v>
      </c>
    </row>
    <row r="36" spans="1:14">
      <c r="A36" s="290" t="s">
        <v>47</v>
      </c>
      <c r="B36" s="379">
        <v>111683.85</v>
      </c>
      <c r="C36" s="379">
        <v>10470.01</v>
      </c>
      <c r="D36" s="379">
        <v>11098.63</v>
      </c>
      <c r="E36" s="379">
        <v>12073.84</v>
      </c>
      <c r="F36" s="379">
        <v>93273.01</v>
      </c>
      <c r="G36" s="379">
        <v>-1.55</v>
      </c>
      <c r="H36" s="379">
        <v>6.87</v>
      </c>
      <c r="I36" s="379">
        <v>15.32</v>
      </c>
      <c r="J36" s="379">
        <v>0.78</v>
      </c>
      <c r="K36" s="379">
        <v>37.14</v>
      </c>
      <c r="L36" s="379">
        <v>35.840000000000003</v>
      </c>
      <c r="M36" s="379">
        <v>41.87</v>
      </c>
      <c r="N36" s="379">
        <v>32.96</v>
      </c>
    </row>
    <row r="37" spans="1:14">
      <c r="A37" s="290" t="s">
        <v>54</v>
      </c>
      <c r="B37" s="379">
        <v>9465.64</v>
      </c>
      <c r="C37" s="379">
        <v>563.36</v>
      </c>
      <c r="D37" s="379">
        <v>466.71</v>
      </c>
      <c r="E37" s="379">
        <v>475.66</v>
      </c>
      <c r="F37" s="379">
        <v>8717.86</v>
      </c>
      <c r="G37" s="379">
        <v>-1.19</v>
      </c>
      <c r="H37" s="379">
        <v>-35.299999999999997</v>
      </c>
      <c r="I37" s="379">
        <v>-15.57</v>
      </c>
      <c r="J37" s="379">
        <v>5.31</v>
      </c>
      <c r="K37" s="379">
        <v>3.15</v>
      </c>
      <c r="L37" s="379">
        <v>1.51</v>
      </c>
      <c r="M37" s="379">
        <v>1.65</v>
      </c>
      <c r="N37" s="379">
        <v>3.08</v>
      </c>
    </row>
    <row r="38" spans="1:14">
      <c r="A38" s="290" t="s">
        <v>47</v>
      </c>
      <c r="B38" s="379">
        <v>4567049.88</v>
      </c>
      <c r="C38" s="379">
        <v>337451.62</v>
      </c>
      <c r="D38" s="379">
        <v>323663.86</v>
      </c>
      <c r="E38" s="379">
        <v>326187.43</v>
      </c>
      <c r="F38" s="379">
        <v>4289981.6399999997</v>
      </c>
      <c r="G38" s="379">
        <v>-1.84</v>
      </c>
      <c r="H38" s="379">
        <v>-10.19</v>
      </c>
      <c r="I38" s="379">
        <v>-3.34</v>
      </c>
      <c r="J38" s="379">
        <v>12.16</v>
      </c>
      <c r="K38" s="379">
        <v>1518.61</v>
      </c>
      <c r="L38" s="379">
        <v>1045.06</v>
      </c>
      <c r="M38" s="379">
        <v>1131.2</v>
      </c>
      <c r="N38" s="379">
        <v>1515.99</v>
      </c>
    </row>
    <row r="39" spans="1:14">
      <c r="A39" s="290" t="s">
        <v>55</v>
      </c>
      <c r="B39" s="379">
        <v>4313.7700000000004</v>
      </c>
      <c r="C39" s="379">
        <v>407.2</v>
      </c>
      <c r="D39" s="379">
        <v>388.29</v>
      </c>
      <c r="E39" s="379">
        <v>412.12</v>
      </c>
      <c r="F39" s="379">
        <v>3848.63</v>
      </c>
      <c r="G39" s="379">
        <v>5.67</v>
      </c>
      <c r="H39" s="379">
        <v>6.45</v>
      </c>
      <c r="I39" s="379">
        <v>1.21</v>
      </c>
      <c r="J39" s="379">
        <v>7.12</v>
      </c>
      <c r="K39" s="379">
        <v>1.43</v>
      </c>
      <c r="L39" s="379">
        <v>1.25</v>
      </c>
      <c r="M39" s="379">
        <v>1.43</v>
      </c>
      <c r="N39" s="379">
        <v>1.36</v>
      </c>
    </row>
    <row r="40" spans="1:14">
      <c r="A40" s="290" t="s">
        <v>47</v>
      </c>
      <c r="B40" s="379">
        <v>1151313.55</v>
      </c>
      <c r="C40" s="379">
        <v>105267.79</v>
      </c>
      <c r="D40" s="379">
        <v>101066.88</v>
      </c>
      <c r="E40" s="379">
        <v>105899.68</v>
      </c>
      <c r="F40" s="379">
        <v>1013833.55</v>
      </c>
      <c r="G40" s="379">
        <v>6.3</v>
      </c>
      <c r="H40" s="379">
        <v>5.89</v>
      </c>
      <c r="I40" s="379">
        <v>0.6</v>
      </c>
      <c r="J40" s="379">
        <v>5.46</v>
      </c>
      <c r="K40" s="379">
        <v>382.83</v>
      </c>
      <c r="L40" s="379">
        <v>326.33</v>
      </c>
      <c r="M40" s="379">
        <v>367.25</v>
      </c>
      <c r="N40" s="379">
        <v>358.27</v>
      </c>
    </row>
    <row r="41" spans="1:14">
      <c r="A41" s="290" t="s">
        <v>56</v>
      </c>
      <c r="B41" s="379">
        <v>9.1999999999999993</v>
      </c>
      <c r="C41" s="379">
        <v>1.31</v>
      </c>
      <c r="D41" s="379">
        <v>0.84</v>
      </c>
      <c r="E41" s="379">
        <v>1.03</v>
      </c>
      <c r="F41" s="379">
        <v>9.3800000000000008</v>
      </c>
      <c r="G41" s="379">
        <v>7.1</v>
      </c>
      <c r="H41" s="379">
        <v>-21.5</v>
      </c>
      <c r="I41" s="379">
        <v>-21.37</v>
      </c>
      <c r="J41" s="379">
        <v>29.56</v>
      </c>
      <c r="K41" s="379">
        <v>0</v>
      </c>
      <c r="L41" s="379">
        <v>0</v>
      </c>
      <c r="M41" s="379">
        <v>0</v>
      </c>
      <c r="N41" s="379">
        <v>0</v>
      </c>
    </row>
    <row r="42" spans="1:14">
      <c r="A42" s="290" t="s">
        <v>47</v>
      </c>
      <c r="B42" s="379">
        <v>3426.15</v>
      </c>
      <c r="C42" s="379">
        <v>442.77</v>
      </c>
      <c r="D42" s="379">
        <v>236.59</v>
      </c>
      <c r="E42" s="379">
        <v>308.02999999999997</v>
      </c>
      <c r="F42" s="379">
        <v>2991.07</v>
      </c>
      <c r="G42" s="379">
        <v>30.37</v>
      </c>
      <c r="H42" s="379">
        <v>-41.04</v>
      </c>
      <c r="I42" s="379">
        <v>-30.43</v>
      </c>
      <c r="J42" s="379">
        <v>11.93</v>
      </c>
      <c r="K42" s="379">
        <v>1.1399999999999999</v>
      </c>
      <c r="L42" s="379">
        <v>0.76</v>
      </c>
      <c r="M42" s="379">
        <v>1.07</v>
      </c>
      <c r="N42" s="379">
        <v>1.06</v>
      </c>
    </row>
    <row r="43" spans="1:14">
      <c r="A43" s="290" t="s">
        <v>113</v>
      </c>
      <c r="B43" s="379">
        <v>30.3</v>
      </c>
      <c r="C43" s="379">
        <v>1.94</v>
      </c>
      <c r="D43" s="379">
        <v>3.42</v>
      </c>
      <c r="E43" s="379">
        <v>3.4</v>
      </c>
      <c r="F43" s="379">
        <v>26.45</v>
      </c>
      <c r="G43" s="379">
        <v>-2.35</v>
      </c>
      <c r="H43" s="379">
        <v>1.48</v>
      </c>
      <c r="I43" s="379">
        <v>75.260000000000005</v>
      </c>
      <c r="J43" s="379">
        <v>5.55</v>
      </c>
      <c r="K43" s="379">
        <v>0.01</v>
      </c>
      <c r="L43" s="379">
        <v>0.01</v>
      </c>
      <c r="M43" s="379">
        <v>0.01</v>
      </c>
      <c r="N43" s="379">
        <v>0.01</v>
      </c>
    </row>
    <row r="44" spans="1:14">
      <c r="A44" s="290" t="s">
        <v>47</v>
      </c>
      <c r="B44" s="379">
        <v>7868.27</v>
      </c>
      <c r="C44" s="379">
        <v>475.8</v>
      </c>
      <c r="D44" s="379">
        <v>964.11</v>
      </c>
      <c r="E44" s="379">
        <v>995.48</v>
      </c>
      <c r="F44" s="379">
        <v>7658.75</v>
      </c>
      <c r="G44" s="379">
        <v>8.44</v>
      </c>
      <c r="H44" s="379">
        <v>21.24</v>
      </c>
      <c r="I44" s="379">
        <v>109.22</v>
      </c>
      <c r="J44" s="379">
        <v>18.82</v>
      </c>
      <c r="K44" s="379">
        <v>2.62</v>
      </c>
      <c r="L44" s="379">
        <v>3.11</v>
      </c>
      <c r="M44" s="379">
        <v>3.45</v>
      </c>
      <c r="N44" s="379">
        <v>2.71</v>
      </c>
    </row>
    <row r="45" spans="1:14">
      <c r="A45" s="290" t="s">
        <v>114</v>
      </c>
      <c r="B45" s="379">
        <v>9485.99</v>
      </c>
      <c r="C45" s="379">
        <v>802.85</v>
      </c>
      <c r="D45" s="379">
        <v>972.7</v>
      </c>
      <c r="E45" s="379">
        <v>1014.4</v>
      </c>
      <c r="F45" s="379">
        <v>9307.1299999999992</v>
      </c>
      <c r="G45" s="379">
        <v>6.76</v>
      </c>
      <c r="H45" s="379">
        <v>14.89</v>
      </c>
      <c r="I45" s="379">
        <v>26.35</v>
      </c>
      <c r="J45" s="379">
        <v>16.809999999999999</v>
      </c>
      <c r="K45" s="379">
        <v>3.15</v>
      </c>
      <c r="L45" s="379">
        <v>3.14</v>
      </c>
      <c r="M45" s="379">
        <v>3.52</v>
      </c>
      <c r="N45" s="379">
        <v>3.29</v>
      </c>
    </row>
    <row r="46" spans="1:14">
      <c r="A46" s="290" t="s">
        <v>47</v>
      </c>
      <c r="B46" s="379">
        <v>3887212.51</v>
      </c>
      <c r="C46" s="379">
        <v>300879.65000000002</v>
      </c>
      <c r="D46" s="379">
        <v>492189.63</v>
      </c>
      <c r="E46" s="379">
        <v>527299.72</v>
      </c>
      <c r="F46" s="379">
        <v>4519261.62</v>
      </c>
      <c r="G46" s="379">
        <v>5.29</v>
      </c>
      <c r="H46" s="379">
        <v>32.29</v>
      </c>
      <c r="I46" s="379">
        <v>75.25</v>
      </c>
      <c r="J46" s="379">
        <v>33.83</v>
      </c>
      <c r="K46" s="379">
        <v>1292.55</v>
      </c>
      <c r="L46" s="379">
        <v>1589.21</v>
      </c>
      <c r="M46" s="379">
        <v>1828.64</v>
      </c>
      <c r="N46" s="379">
        <v>1597.01</v>
      </c>
    </row>
    <row r="47" spans="1:14">
      <c r="A47" s="290" t="s">
        <v>57</v>
      </c>
      <c r="B47" s="379">
        <v>3029.42</v>
      </c>
      <c r="C47" s="379">
        <v>260.08999999999997</v>
      </c>
      <c r="D47" s="379">
        <v>269.44</v>
      </c>
      <c r="E47" s="379">
        <v>280.02999999999997</v>
      </c>
      <c r="F47" s="379">
        <v>2718.15</v>
      </c>
      <c r="G47" s="379">
        <v>22.92</v>
      </c>
      <c r="H47" s="379">
        <v>2.86</v>
      </c>
      <c r="I47" s="379">
        <v>7.67</v>
      </c>
      <c r="J47" s="379">
        <v>7.87</v>
      </c>
      <c r="K47" s="379">
        <v>1.01</v>
      </c>
      <c r="L47" s="379">
        <v>0.87</v>
      </c>
      <c r="M47" s="379">
        <v>0.97</v>
      </c>
      <c r="N47" s="379">
        <v>0.96</v>
      </c>
    </row>
    <row r="48" spans="1:14">
      <c r="A48" s="290" t="s">
        <v>47</v>
      </c>
      <c r="B48" s="379">
        <v>1072336.19</v>
      </c>
      <c r="C48" s="379">
        <v>88075.05</v>
      </c>
      <c r="D48" s="379">
        <v>90911.92</v>
      </c>
      <c r="E48" s="379">
        <v>90893.88</v>
      </c>
      <c r="F48" s="379">
        <v>921773.32</v>
      </c>
      <c r="G48" s="379">
        <v>3.41</v>
      </c>
      <c r="H48" s="379">
        <v>1.42</v>
      </c>
      <c r="I48" s="379">
        <v>3.2</v>
      </c>
      <c r="J48" s="379">
        <v>2.77</v>
      </c>
      <c r="K48" s="379">
        <v>356.57</v>
      </c>
      <c r="L48" s="379">
        <v>293.54000000000002</v>
      </c>
      <c r="M48" s="379">
        <v>315.20999999999998</v>
      </c>
      <c r="N48" s="379">
        <v>325.74</v>
      </c>
    </row>
    <row r="49" spans="1:14">
      <c r="A49" s="290" t="s">
        <v>58</v>
      </c>
      <c r="B49" s="379">
        <v>2686.49</v>
      </c>
      <c r="C49" s="379">
        <v>230.75</v>
      </c>
      <c r="D49" s="379">
        <v>238.87</v>
      </c>
      <c r="E49" s="379">
        <v>248.98</v>
      </c>
      <c r="F49" s="379">
        <v>2405.09</v>
      </c>
      <c r="G49" s="379">
        <v>28.39</v>
      </c>
      <c r="H49" s="379">
        <v>1.95</v>
      </c>
      <c r="I49" s="379">
        <v>7.9</v>
      </c>
      <c r="J49" s="379">
        <v>7.63</v>
      </c>
      <c r="K49" s="379">
        <v>0.89</v>
      </c>
      <c r="L49" s="379">
        <v>0.77</v>
      </c>
      <c r="M49" s="379">
        <v>0.86</v>
      </c>
      <c r="N49" s="379">
        <v>0.85</v>
      </c>
    </row>
    <row r="50" spans="1:14">
      <c r="A50" s="290" t="s">
        <v>47</v>
      </c>
      <c r="B50" s="379">
        <v>829772.01</v>
      </c>
      <c r="C50" s="379">
        <v>68366.19</v>
      </c>
      <c r="D50" s="379">
        <v>69953.2</v>
      </c>
      <c r="E50" s="379">
        <v>69874.62</v>
      </c>
      <c r="F50" s="379">
        <v>701373.22</v>
      </c>
      <c r="G50" s="379">
        <v>18.809999999999999</v>
      </c>
      <c r="H50" s="379">
        <v>-2.33</v>
      </c>
      <c r="I50" s="379">
        <v>2.21</v>
      </c>
      <c r="J50" s="379">
        <v>1.04</v>
      </c>
      <c r="K50" s="379">
        <v>275.91000000000003</v>
      </c>
      <c r="L50" s="379">
        <v>225.87</v>
      </c>
      <c r="M50" s="379">
        <v>242.32</v>
      </c>
      <c r="N50" s="379">
        <v>247.85</v>
      </c>
    </row>
    <row r="51" spans="1:14">
      <c r="A51" s="290" t="s">
        <v>115</v>
      </c>
      <c r="B51" s="379">
        <v>342.92</v>
      </c>
      <c r="C51" s="379">
        <v>29.34</v>
      </c>
      <c r="D51" s="379">
        <v>30.57</v>
      </c>
      <c r="E51" s="379">
        <v>31.05</v>
      </c>
      <c r="F51" s="379">
        <v>313.05</v>
      </c>
      <c r="G51" s="379">
        <v>-7.84</v>
      </c>
      <c r="H51" s="379">
        <v>10.6</v>
      </c>
      <c r="I51" s="379">
        <v>5.83</v>
      </c>
      <c r="J51" s="379">
        <v>9.77</v>
      </c>
      <c r="K51" s="379">
        <v>0.11</v>
      </c>
      <c r="L51" s="379">
        <v>0.1</v>
      </c>
      <c r="M51" s="379">
        <v>0.11</v>
      </c>
      <c r="N51" s="379">
        <v>0.11</v>
      </c>
    </row>
    <row r="52" spans="1:14">
      <c r="A52" s="290" t="s">
        <v>47</v>
      </c>
      <c r="B52" s="379">
        <v>242564.18</v>
      </c>
      <c r="C52" s="379">
        <v>19708.849999999999</v>
      </c>
      <c r="D52" s="379">
        <v>20958.72</v>
      </c>
      <c r="E52" s="379">
        <v>21019.25</v>
      </c>
      <c r="F52" s="379">
        <v>220400.1</v>
      </c>
      <c r="G52" s="379">
        <v>-28.34</v>
      </c>
      <c r="H52" s="379">
        <v>16.329999999999998</v>
      </c>
      <c r="I52" s="379">
        <v>6.65</v>
      </c>
      <c r="J52" s="379">
        <v>8.66</v>
      </c>
      <c r="K52" s="379">
        <v>80.66</v>
      </c>
      <c r="L52" s="379">
        <v>67.67</v>
      </c>
      <c r="M52" s="379">
        <v>72.89</v>
      </c>
      <c r="N52" s="379">
        <v>77.88</v>
      </c>
    </row>
    <row r="53" spans="1:14">
      <c r="A53" s="290" t="s">
        <v>59</v>
      </c>
      <c r="B53" s="379">
        <v>2422</v>
      </c>
      <c r="C53" s="379">
        <v>115.88</v>
      </c>
      <c r="D53" s="379">
        <v>212.38</v>
      </c>
      <c r="E53" s="379">
        <v>127.76</v>
      </c>
      <c r="F53" s="379">
        <v>2461.0500000000002</v>
      </c>
      <c r="G53" s="379">
        <v>-30.67</v>
      </c>
      <c r="H53" s="379">
        <v>42.81</v>
      </c>
      <c r="I53" s="379">
        <v>10.25</v>
      </c>
      <c r="J53" s="379">
        <v>11.6</v>
      </c>
      <c r="K53" s="379">
        <v>0.81</v>
      </c>
      <c r="L53" s="379">
        <v>0.69</v>
      </c>
      <c r="M53" s="379">
        <v>0.44</v>
      </c>
      <c r="N53" s="379">
        <v>0.87</v>
      </c>
    </row>
    <row r="54" spans="1:14">
      <c r="A54" s="290" t="s">
        <v>47</v>
      </c>
      <c r="B54" s="379">
        <v>4194031.31</v>
      </c>
      <c r="C54" s="379">
        <v>194137.56</v>
      </c>
      <c r="D54" s="379">
        <v>461916.95</v>
      </c>
      <c r="E54" s="379">
        <v>266397.96999999997</v>
      </c>
      <c r="F54" s="379">
        <v>5134834.83</v>
      </c>
      <c r="G54" s="379">
        <v>-36.520000000000003</v>
      </c>
      <c r="H54" s="379">
        <v>78.319999999999993</v>
      </c>
      <c r="I54" s="379">
        <v>37.22</v>
      </c>
      <c r="J54" s="379">
        <v>34.32</v>
      </c>
      <c r="K54" s="379">
        <v>1394.57</v>
      </c>
      <c r="L54" s="379">
        <v>1491.46</v>
      </c>
      <c r="M54" s="379">
        <v>923.85</v>
      </c>
      <c r="N54" s="379">
        <v>1814.54</v>
      </c>
    </row>
    <row r="55" spans="1:14">
      <c r="A55" s="290" t="s">
        <v>60</v>
      </c>
      <c r="B55" s="379">
        <v>237575.96</v>
      </c>
      <c r="C55" s="379">
        <v>22085.37</v>
      </c>
      <c r="D55" s="379">
        <v>26339.279999999999</v>
      </c>
      <c r="E55" s="379">
        <v>24032.36</v>
      </c>
      <c r="F55" s="379">
        <v>231201.85</v>
      </c>
      <c r="G55" s="379">
        <v>5.98</v>
      </c>
      <c r="H55" s="379">
        <v>26.4</v>
      </c>
      <c r="I55" s="379">
        <v>8.82</v>
      </c>
      <c r="J55" s="379">
        <v>17.489999999999998</v>
      </c>
      <c r="K55" s="379">
        <v>79</v>
      </c>
      <c r="L55" s="379">
        <v>85.05</v>
      </c>
      <c r="M55" s="379">
        <v>83.34</v>
      </c>
      <c r="N55" s="379">
        <v>81.7</v>
      </c>
    </row>
    <row r="56" spans="1:14">
      <c r="A56" s="290" t="s">
        <v>61</v>
      </c>
      <c r="B56" s="379">
        <v>39462.089999999997</v>
      </c>
      <c r="C56" s="379">
        <v>3057.77</v>
      </c>
      <c r="D56" s="379">
        <v>3582.31</v>
      </c>
      <c r="E56" s="379">
        <v>3514.2</v>
      </c>
      <c r="F56" s="379">
        <v>33425.56</v>
      </c>
      <c r="G56" s="379">
        <v>-6.66</v>
      </c>
      <c r="H56" s="379">
        <v>15.37</v>
      </c>
      <c r="I56" s="379">
        <v>14.93</v>
      </c>
      <c r="J56" s="379">
        <v>2.33</v>
      </c>
      <c r="K56" s="379">
        <v>13.12</v>
      </c>
      <c r="L56" s="379">
        <v>11.57</v>
      </c>
      <c r="M56" s="379">
        <v>12.19</v>
      </c>
      <c r="N56" s="379">
        <v>11.81</v>
      </c>
    </row>
    <row r="57" spans="1:14">
      <c r="A57" s="290" t="s">
        <v>62</v>
      </c>
      <c r="B57" s="379">
        <v>23266.36</v>
      </c>
      <c r="C57" s="379">
        <v>1675.81</v>
      </c>
      <c r="D57" s="379">
        <v>2009.99</v>
      </c>
      <c r="E57" s="379">
        <v>1951.35</v>
      </c>
      <c r="F57" s="379">
        <v>18747.689999999999</v>
      </c>
      <c r="G57" s="379">
        <v>-6.77</v>
      </c>
      <c r="H57" s="379">
        <v>14.93</v>
      </c>
      <c r="I57" s="379">
        <v>16.440000000000001</v>
      </c>
      <c r="J57" s="379">
        <v>-2.5</v>
      </c>
      <c r="K57" s="379">
        <v>7.74</v>
      </c>
      <c r="L57" s="379">
        <v>6.49</v>
      </c>
      <c r="M57" s="379">
        <v>6.77</v>
      </c>
      <c r="N57" s="379">
        <v>6.63</v>
      </c>
    </row>
    <row r="58" spans="1:14">
      <c r="A58" s="290" t="s">
        <v>63</v>
      </c>
      <c r="B58" s="379">
        <v>12269.82</v>
      </c>
      <c r="C58" s="379">
        <v>905.87</v>
      </c>
      <c r="D58" s="379">
        <v>754.57</v>
      </c>
      <c r="E58" s="379">
        <v>661.42</v>
      </c>
      <c r="F58" s="379">
        <v>8610.58</v>
      </c>
      <c r="G58" s="379">
        <v>-4.2</v>
      </c>
      <c r="H58" s="379">
        <v>-22.35</v>
      </c>
      <c r="I58" s="379">
        <v>-26.99</v>
      </c>
      <c r="J58" s="379">
        <v>-15.58</v>
      </c>
      <c r="K58" s="379">
        <v>4.08</v>
      </c>
      <c r="L58" s="379">
        <v>2.44</v>
      </c>
      <c r="M58" s="379">
        <v>2.29</v>
      </c>
      <c r="N58" s="379">
        <v>3.04</v>
      </c>
    </row>
    <row r="59" spans="1:14">
      <c r="A59" s="290" t="s">
        <v>64</v>
      </c>
      <c r="B59" s="379">
        <v>8609.67</v>
      </c>
      <c r="C59" s="379">
        <v>585.67999999999995</v>
      </c>
      <c r="D59" s="379">
        <v>1087.6199999999999</v>
      </c>
      <c r="E59" s="379">
        <v>1115.96</v>
      </c>
      <c r="F59" s="379">
        <v>8039.56</v>
      </c>
      <c r="G59" s="379">
        <v>-7.68</v>
      </c>
      <c r="H59" s="379">
        <v>73.58</v>
      </c>
      <c r="I59" s="379">
        <v>90.54</v>
      </c>
      <c r="J59" s="379">
        <v>13.08</v>
      </c>
      <c r="K59" s="379">
        <v>2.86</v>
      </c>
      <c r="L59" s="379">
        <v>3.51</v>
      </c>
      <c r="M59" s="379">
        <v>3.87</v>
      </c>
      <c r="N59" s="379">
        <v>2.84</v>
      </c>
    </row>
    <row r="60" spans="1:14">
      <c r="A60" s="290" t="s">
        <v>65</v>
      </c>
      <c r="B60" s="379">
        <v>2367.75</v>
      </c>
      <c r="C60" s="379">
        <v>182.62</v>
      </c>
      <c r="D60" s="379">
        <v>161.35</v>
      </c>
      <c r="E60" s="379">
        <v>169.87</v>
      </c>
      <c r="F60" s="379">
        <v>2037.83</v>
      </c>
      <c r="G60" s="379">
        <v>-15.08</v>
      </c>
      <c r="H60" s="379">
        <v>8.69</v>
      </c>
      <c r="I60" s="379">
        <v>-6.98</v>
      </c>
      <c r="J60" s="379">
        <v>7.15</v>
      </c>
      <c r="K60" s="379">
        <v>0.79</v>
      </c>
      <c r="L60" s="379">
        <v>0.52</v>
      </c>
      <c r="M60" s="379">
        <v>0.59</v>
      </c>
      <c r="N60" s="379">
        <v>0.72</v>
      </c>
    </row>
    <row r="61" spans="1:14">
      <c r="A61" s="290" t="s">
        <v>66</v>
      </c>
      <c r="B61" s="379">
        <v>18.899999999999999</v>
      </c>
      <c r="C61" s="379">
        <v>1.64</v>
      </c>
      <c r="D61" s="379">
        <v>6.4</v>
      </c>
      <c r="E61" s="379">
        <v>4.0999999999999996</v>
      </c>
      <c r="F61" s="379">
        <v>59.64</v>
      </c>
      <c r="G61" s="379">
        <v>-44.83</v>
      </c>
      <c r="H61" s="379">
        <v>193.58</v>
      </c>
      <c r="I61" s="379">
        <v>150</v>
      </c>
      <c r="J61" s="379">
        <v>243.35</v>
      </c>
      <c r="K61" s="379">
        <v>0.01</v>
      </c>
      <c r="L61" s="379">
        <v>0.02</v>
      </c>
      <c r="M61" s="379">
        <v>0.01</v>
      </c>
      <c r="N61" s="379">
        <v>0.02</v>
      </c>
    </row>
    <row r="62" spans="1:14">
      <c r="A62" s="290" t="s">
        <v>116</v>
      </c>
      <c r="B62" s="379">
        <v>0.21</v>
      </c>
      <c r="C62" s="379">
        <v>0</v>
      </c>
      <c r="D62" s="379">
        <v>0.05</v>
      </c>
      <c r="E62" s="379">
        <v>0</v>
      </c>
      <c r="F62" s="379">
        <v>0.08</v>
      </c>
      <c r="G62" s="379">
        <v>162.5</v>
      </c>
      <c r="H62" s="379">
        <v>0</v>
      </c>
      <c r="I62" s="379">
        <v>0</v>
      </c>
      <c r="J62" s="379">
        <v>-61.9</v>
      </c>
      <c r="K62" s="379">
        <v>0</v>
      </c>
      <c r="L62" s="379">
        <v>0</v>
      </c>
      <c r="M62" s="379">
        <v>0</v>
      </c>
      <c r="N62" s="379">
        <v>0</v>
      </c>
    </row>
    <row r="63" spans="1:14">
      <c r="A63" s="290" t="s">
        <v>67</v>
      </c>
      <c r="B63" s="379">
        <v>15483.26</v>
      </c>
      <c r="C63" s="379">
        <v>1332.1</v>
      </c>
      <c r="D63" s="379">
        <v>1509.21</v>
      </c>
      <c r="E63" s="379">
        <v>1508.52</v>
      </c>
      <c r="F63" s="379">
        <v>14069.04</v>
      </c>
      <c r="G63" s="379">
        <v>-3.15</v>
      </c>
      <c r="H63" s="379">
        <v>15.74</v>
      </c>
      <c r="I63" s="379">
        <v>13.24</v>
      </c>
      <c r="J63" s="379">
        <v>9.6999999999999993</v>
      </c>
      <c r="K63" s="379">
        <v>5.15</v>
      </c>
      <c r="L63" s="379">
        <v>4.87</v>
      </c>
      <c r="M63" s="379">
        <v>5.23</v>
      </c>
      <c r="N63" s="379">
        <v>4.97</v>
      </c>
    </row>
    <row r="64" spans="1:14">
      <c r="A64" s="290" t="s">
        <v>68</v>
      </c>
      <c r="B64" s="379">
        <v>10235.959999999999</v>
      </c>
      <c r="C64" s="379">
        <v>876.83</v>
      </c>
      <c r="D64" s="379">
        <v>1001.12</v>
      </c>
      <c r="E64" s="379">
        <v>976.05</v>
      </c>
      <c r="F64" s="379">
        <v>9362.36</v>
      </c>
      <c r="G64" s="379">
        <v>1.84</v>
      </c>
      <c r="H64" s="379">
        <v>13.25</v>
      </c>
      <c r="I64" s="379">
        <v>11.32</v>
      </c>
      <c r="J64" s="379">
        <v>10.47</v>
      </c>
      <c r="K64" s="379">
        <v>3.4</v>
      </c>
      <c r="L64" s="379">
        <v>3.23</v>
      </c>
      <c r="M64" s="379">
        <v>3.38</v>
      </c>
      <c r="N64" s="379">
        <v>3.31</v>
      </c>
    </row>
    <row r="65" spans="1:14">
      <c r="A65" s="290" t="s">
        <v>69</v>
      </c>
      <c r="B65" s="379">
        <v>3640.62</v>
      </c>
      <c r="C65" s="379">
        <v>305.67</v>
      </c>
      <c r="D65" s="379">
        <v>337.84</v>
      </c>
      <c r="E65" s="379">
        <v>356.8</v>
      </c>
      <c r="F65" s="379">
        <v>3162.08</v>
      </c>
      <c r="G65" s="379">
        <v>-18.309999999999999</v>
      </c>
      <c r="H65" s="379">
        <v>17.079999999999998</v>
      </c>
      <c r="I65" s="379">
        <v>16.73</v>
      </c>
      <c r="J65" s="379">
        <v>3.89</v>
      </c>
      <c r="K65" s="379">
        <v>1.21</v>
      </c>
      <c r="L65" s="379">
        <v>1.0900000000000001</v>
      </c>
      <c r="M65" s="379">
        <v>1.24</v>
      </c>
      <c r="N65" s="379">
        <v>1.1200000000000001</v>
      </c>
    </row>
    <row r="66" spans="1:14">
      <c r="A66" s="290" t="s">
        <v>117</v>
      </c>
      <c r="B66" s="379">
        <v>893.54</v>
      </c>
      <c r="C66" s="379">
        <v>85.89</v>
      </c>
      <c r="D66" s="379">
        <v>94.77</v>
      </c>
      <c r="E66" s="379">
        <v>100.54</v>
      </c>
      <c r="F66" s="379">
        <v>861.19</v>
      </c>
      <c r="G66" s="379">
        <v>11.6</v>
      </c>
      <c r="H66" s="379">
        <v>30.9</v>
      </c>
      <c r="I66" s="379">
        <v>17.059999999999999</v>
      </c>
      <c r="J66" s="379">
        <v>19.02</v>
      </c>
      <c r="K66" s="379">
        <v>0.3</v>
      </c>
      <c r="L66" s="379">
        <v>0.31</v>
      </c>
      <c r="M66" s="379">
        <v>0.35</v>
      </c>
      <c r="N66" s="379">
        <v>0.3</v>
      </c>
    </row>
    <row r="67" spans="1:14">
      <c r="A67" s="290" t="s">
        <v>118</v>
      </c>
      <c r="B67" s="379">
        <v>667.5</v>
      </c>
      <c r="C67" s="379">
        <v>58.78</v>
      </c>
      <c r="D67" s="379">
        <v>71.91</v>
      </c>
      <c r="E67" s="379">
        <v>69.930000000000007</v>
      </c>
      <c r="F67" s="379">
        <v>646.1</v>
      </c>
      <c r="G67" s="379">
        <v>4.37</v>
      </c>
      <c r="H67" s="379">
        <v>31.15</v>
      </c>
      <c r="I67" s="379">
        <v>18.97</v>
      </c>
      <c r="J67" s="379">
        <v>18.82</v>
      </c>
      <c r="K67" s="379">
        <v>0.22</v>
      </c>
      <c r="L67" s="379">
        <v>0.23</v>
      </c>
      <c r="M67" s="379">
        <v>0.24</v>
      </c>
      <c r="N67" s="379">
        <v>0.23</v>
      </c>
    </row>
    <row r="68" spans="1:14">
      <c r="A68" s="290" t="s">
        <v>119</v>
      </c>
      <c r="B68" s="379">
        <v>45.65</v>
      </c>
      <c r="C68" s="379">
        <v>4.92</v>
      </c>
      <c r="D68" s="379">
        <v>3.57</v>
      </c>
      <c r="E68" s="379">
        <v>5.2</v>
      </c>
      <c r="F68" s="379">
        <v>37.32</v>
      </c>
      <c r="G68" s="379">
        <v>17.87</v>
      </c>
      <c r="H68" s="379">
        <v>-14.59</v>
      </c>
      <c r="I68" s="379">
        <v>5.69</v>
      </c>
      <c r="J68" s="379">
        <v>-2.5299999999999998</v>
      </c>
      <c r="K68" s="379">
        <v>0.02</v>
      </c>
      <c r="L68" s="379">
        <v>0.01</v>
      </c>
      <c r="M68" s="379">
        <v>0.02</v>
      </c>
      <c r="N68" s="379">
        <v>0.01</v>
      </c>
    </row>
    <row r="69" spans="1:14">
      <c r="A69" s="290" t="s">
        <v>70</v>
      </c>
      <c r="B69" s="379">
        <v>712.47</v>
      </c>
      <c r="C69" s="379">
        <v>49.86</v>
      </c>
      <c r="D69" s="379">
        <v>63.11</v>
      </c>
      <c r="E69" s="379">
        <v>54.33</v>
      </c>
      <c r="F69" s="379">
        <v>608.83000000000004</v>
      </c>
      <c r="G69" s="379">
        <v>-46.68</v>
      </c>
      <c r="H69" s="379">
        <v>20.65</v>
      </c>
      <c r="I69" s="379">
        <v>8.9700000000000006</v>
      </c>
      <c r="J69" s="379">
        <v>-0.72</v>
      </c>
      <c r="K69" s="379">
        <v>0.24</v>
      </c>
      <c r="L69" s="379">
        <v>0.2</v>
      </c>
      <c r="M69" s="379">
        <v>0.19</v>
      </c>
      <c r="N69" s="379">
        <v>0.22</v>
      </c>
    </row>
    <row r="70" spans="1:14">
      <c r="A70" s="290" t="s">
        <v>71</v>
      </c>
      <c r="B70" s="379">
        <v>52941.09</v>
      </c>
      <c r="C70" s="379">
        <v>4870.6000000000004</v>
      </c>
      <c r="D70" s="379">
        <v>7025.94</v>
      </c>
      <c r="E70" s="379">
        <v>6760.17</v>
      </c>
      <c r="F70" s="379">
        <v>59476.93</v>
      </c>
      <c r="G70" s="379">
        <v>14.4</v>
      </c>
      <c r="H70" s="379">
        <v>42.64</v>
      </c>
      <c r="I70" s="379">
        <v>38.799999999999997</v>
      </c>
      <c r="J70" s="379">
        <v>35.92</v>
      </c>
      <c r="K70" s="379">
        <v>17.600000000000001</v>
      </c>
      <c r="L70" s="379">
        <v>22.69</v>
      </c>
      <c r="M70" s="379">
        <v>23.44</v>
      </c>
      <c r="N70" s="379">
        <v>21.02</v>
      </c>
    </row>
    <row r="71" spans="1:14">
      <c r="A71" s="290" t="s">
        <v>72</v>
      </c>
      <c r="B71" s="379">
        <v>24610.46</v>
      </c>
      <c r="C71" s="379">
        <v>2179.4299999999998</v>
      </c>
      <c r="D71" s="379">
        <v>3734.93</v>
      </c>
      <c r="E71" s="379">
        <v>3657.36</v>
      </c>
      <c r="F71" s="379">
        <v>32543.72</v>
      </c>
      <c r="G71" s="379">
        <v>38.11</v>
      </c>
      <c r="H71" s="379">
        <v>57.92</v>
      </c>
      <c r="I71" s="379">
        <v>67.81</v>
      </c>
      <c r="J71" s="379">
        <v>64.84</v>
      </c>
      <c r="K71" s="379">
        <v>8.18</v>
      </c>
      <c r="L71" s="379">
        <v>12.06</v>
      </c>
      <c r="M71" s="379">
        <v>12.68</v>
      </c>
      <c r="N71" s="379">
        <v>11.5</v>
      </c>
    </row>
    <row r="72" spans="1:14">
      <c r="A72" s="290" t="s">
        <v>73</v>
      </c>
      <c r="B72" s="379">
        <v>10301.67</v>
      </c>
      <c r="C72" s="379">
        <v>887.14</v>
      </c>
      <c r="D72" s="379">
        <v>1017.13</v>
      </c>
      <c r="E72" s="379">
        <v>1023.08</v>
      </c>
      <c r="F72" s="379">
        <v>9827.1299999999992</v>
      </c>
      <c r="G72" s="379">
        <v>25.55</v>
      </c>
      <c r="H72" s="379">
        <v>-7.17</v>
      </c>
      <c r="I72" s="379">
        <v>15.32</v>
      </c>
      <c r="J72" s="379">
        <v>21.09</v>
      </c>
      <c r="K72" s="379">
        <v>3.43</v>
      </c>
      <c r="L72" s="379">
        <v>3.28</v>
      </c>
      <c r="M72" s="379">
        <v>3.55</v>
      </c>
      <c r="N72" s="379">
        <v>3.47</v>
      </c>
    </row>
    <row r="73" spans="1:14">
      <c r="A73" s="290" t="s">
        <v>74</v>
      </c>
      <c r="B73" s="379">
        <v>8687.48</v>
      </c>
      <c r="C73" s="379">
        <v>764.75</v>
      </c>
      <c r="D73" s="379">
        <v>910.43</v>
      </c>
      <c r="E73" s="379">
        <v>847.54</v>
      </c>
      <c r="F73" s="379">
        <v>9323.7800000000007</v>
      </c>
      <c r="G73" s="379">
        <v>-10.45</v>
      </c>
      <c r="H73" s="379">
        <v>8.0500000000000007</v>
      </c>
      <c r="I73" s="379">
        <v>10.83</v>
      </c>
      <c r="J73" s="379">
        <v>30.49</v>
      </c>
      <c r="K73" s="379">
        <v>2.89</v>
      </c>
      <c r="L73" s="379">
        <v>2.94</v>
      </c>
      <c r="M73" s="379">
        <v>2.94</v>
      </c>
      <c r="N73" s="379">
        <v>3.29</v>
      </c>
    </row>
    <row r="74" spans="1:14">
      <c r="A74" s="290" t="s">
        <v>75</v>
      </c>
      <c r="B74" s="379">
        <v>3708.36</v>
      </c>
      <c r="C74" s="379">
        <v>294.85000000000002</v>
      </c>
      <c r="D74" s="379">
        <v>220.11</v>
      </c>
      <c r="E74" s="379">
        <v>273.06</v>
      </c>
      <c r="F74" s="379">
        <v>2247.7800000000002</v>
      </c>
      <c r="G74" s="379">
        <v>-29.22</v>
      </c>
      <c r="H74" s="379">
        <v>-16.32</v>
      </c>
      <c r="I74" s="379">
        <v>-7.39</v>
      </c>
      <c r="J74" s="379">
        <v>-35.18</v>
      </c>
      <c r="K74" s="379">
        <v>1.23</v>
      </c>
      <c r="L74" s="379">
        <v>0.71</v>
      </c>
      <c r="M74" s="379">
        <v>0.95</v>
      </c>
      <c r="N74" s="379">
        <v>0.79</v>
      </c>
    </row>
    <row r="75" spans="1:14">
      <c r="A75" s="290" t="s">
        <v>76</v>
      </c>
      <c r="B75" s="379">
        <v>15934.8</v>
      </c>
      <c r="C75" s="379">
        <v>1631.56</v>
      </c>
      <c r="D75" s="379">
        <v>2160.4699999999998</v>
      </c>
      <c r="E75" s="379">
        <v>1982.21</v>
      </c>
      <c r="F75" s="379">
        <v>15361.65</v>
      </c>
      <c r="G75" s="379">
        <v>17.88</v>
      </c>
      <c r="H75" s="379">
        <v>48.51</v>
      </c>
      <c r="I75" s="379">
        <v>21.49</v>
      </c>
      <c r="J75" s="379">
        <v>14.63</v>
      </c>
      <c r="K75" s="379">
        <v>5.3</v>
      </c>
      <c r="L75" s="379">
        <v>6.98</v>
      </c>
      <c r="M75" s="379">
        <v>6.87</v>
      </c>
      <c r="N75" s="379">
        <v>5.43</v>
      </c>
    </row>
    <row r="76" spans="1:14">
      <c r="A76" s="290" t="s">
        <v>77</v>
      </c>
      <c r="B76" s="379">
        <v>29520.9</v>
      </c>
      <c r="C76" s="379">
        <v>2461.84</v>
      </c>
      <c r="D76" s="379">
        <v>2799.65</v>
      </c>
      <c r="E76" s="379">
        <v>2773.9</v>
      </c>
      <c r="F76" s="379">
        <v>27207.56</v>
      </c>
      <c r="G76" s="379">
        <v>3.02</v>
      </c>
      <c r="H76" s="379">
        <v>7.84</v>
      </c>
      <c r="I76" s="379">
        <v>12.68</v>
      </c>
      <c r="J76" s="379">
        <v>11.01</v>
      </c>
      <c r="K76" s="379">
        <v>9.82</v>
      </c>
      <c r="L76" s="379">
        <v>9.0399999999999991</v>
      </c>
      <c r="M76" s="379">
        <v>9.6199999999999992</v>
      </c>
      <c r="N76" s="379">
        <v>9.61</v>
      </c>
    </row>
    <row r="77" spans="1:14">
      <c r="A77" s="290" t="s">
        <v>78</v>
      </c>
      <c r="B77" s="379">
        <v>6888.19</v>
      </c>
      <c r="C77" s="379">
        <v>500.24</v>
      </c>
      <c r="D77" s="379">
        <v>491.31</v>
      </c>
      <c r="E77" s="379">
        <v>485.51</v>
      </c>
      <c r="F77" s="379">
        <v>6335.2</v>
      </c>
      <c r="G77" s="379">
        <v>5.95</v>
      </c>
      <c r="H77" s="379">
        <v>-5.86</v>
      </c>
      <c r="I77" s="379">
        <v>-2.94</v>
      </c>
      <c r="J77" s="379">
        <v>10.06</v>
      </c>
      <c r="K77" s="379">
        <v>2.29</v>
      </c>
      <c r="L77" s="379">
        <v>1.59</v>
      </c>
      <c r="M77" s="379">
        <v>1.68</v>
      </c>
      <c r="N77" s="379">
        <v>2.2400000000000002</v>
      </c>
    </row>
    <row r="78" spans="1:14">
      <c r="A78" s="290" t="s">
        <v>79</v>
      </c>
      <c r="B78" s="379">
        <v>2905.3</v>
      </c>
      <c r="C78" s="379">
        <v>240.73</v>
      </c>
      <c r="D78" s="379">
        <v>205.73</v>
      </c>
      <c r="E78" s="379">
        <v>207.73</v>
      </c>
      <c r="F78" s="379">
        <v>2140.6</v>
      </c>
      <c r="G78" s="379">
        <v>-5</v>
      </c>
      <c r="H78" s="379">
        <v>-16.989999999999998</v>
      </c>
      <c r="I78" s="379">
        <v>-13.71</v>
      </c>
      <c r="J78" s="379">
        <v>-11.46</v>
      </c>
      <c r="K78" s="379">
        <v>0.97</v>
      </c>
      <c r="L78" s="379">
        <v>0.66</v>
      </c>
      <c r="M78" s="379">
        <v>0.72</v>
      </c>
      <c r="N78" s="379">
        <v>0.76</v>
      </c>
    </row>
    <row r="79" spans="1:14">
      <c r="A79" s="290" t="s">
        <v>80</v>
      </c>
      <c r="B79" s="379">
        <v>2169.59</v>
      </c>
      <c r="C79" s="379">
        <v>191.78</v>
      </c>
      <c r="D79" s="379">
        <v>209.79</v>
      </c>
      <c r="E79" s="379">
        <v>195.92</v>
      </c>
      <c r="F79" s="379">
        <v>1971.83</v>
      </c>
      <c r="G79" s="379">
        <v>4.82</v>
      </c>
      <c r="H79" s="379">
        <v>9.35</v>
      </c>
      <c r="I79" s="379">
        <v>2.16</v>
      </c>
      <c r="J79" s="379">
        <v>7.04</v>
      </c>
      <c r="K79" s="379">
        <v>0.72</v>
      </c>
      <c r="L79" s="379">
        <v>0.68</v>
      </c>
      <c r="M79" s="379">
        <v>0.68</v>
      </c>
      <c r="N79" s="379">
        <v>0.7</v>
      </c>
    </row>
    <row r="80" spans="1:14">
      <c r="A80" s="290" t="s">
        <v>81</v>
      </c>
      <c r="B80" s="379">
        <v>3215.03</v>
      </c>
      <c r="C80" s="379">
        <v>251.42</v>
      </c>
      <c r="D80" s="379">
        <v>405.04</v>
      </c>
      <c r="E80" s="379">
        <v>375.04</v>
      </c>
      <c r="F80" s="379">
        <v>3364.99</v>
      </c>
      <c r="G80" s="379">
        <v>19.350000000000001</v>
      </c>
      <c r="H80" s="379">
        <v>25.1</v>
      </c>
      <c r="I80" s="379">
        <v>49.17</v>
      </c>
      <c r="J80" s="379">
        <v>29.35</v>
      </c>
      <c r="K80" s="379">
        <v>1.07</v>
      </c>
      <c r="L80" s="379">
        <v>1.31</v>
      </c>
      <c r="M80" s="379">
        <v>1.3</v>
      </c>
      <c r="N80" s="379">
        <v>1.19</v>
      </c>
    </row>
    <row r="81" spans="1:14">
      <c r="A81" s="290" t="s">
        <v>120</v>
      </c>
      <c r="B81" s="379">
        <v>14220.23</v>
      </c>
      <c r="C81" s="379">
        <v>1272.55</v>
      </c>
      <c r="D81" s="379">
        <v>1478.33</v>
      </c>
      <c r="E81" s="379">
        <v>1502.45</v>
      </c>
      <c r="F81" s="379">
        <v>13329.78</v>
      </c>
      <c r="G81" s="379">
        <v>-0.42</v>
      </c>
      <c r="H81" s="379">
        <v>13.17</v>
      </c>
      <c r="I81" s="379">
        <v>18.07</v>
      </c>
      <c r="J81" s="379">
        <v>13.18</v>
      </c>
      <c r="K81" s="379">
        <v>4.7300000000000004</v>
      </c>
      <c r="L81" s="379">
        <v>4.7699999999999996</v>
      </c>
      <c r="M81" s="379">
        <v>5.21</v>
      </c>
      <c r="N81" s="379">
        <v>4.71</v>
      </c>
    </row>
    <row r="82" spans="1:14">
      <c r="A82" s="290" t="s">
        <v>82</v>
      </c>
      <c r="B82" s="379">
        <v>18429.099999999999</v>
      </c>
      <c r="C82" s="379">
        <v>2971.74</v>
      </c>
      <c r="D82" s="379">
        <v>3807.61</v>
      </c>
      <c r="E82" s="379">
        <v>1445.71</v>
      </c>
      <c r="F82" s="379">
        <v>23167.86</v>
      </c>
      <c r="G82" s="379">
        <v>24.63</v>
      </c>
      <c r="H82" s="379">
        <v>88.81</v>
      </c>
      <c r="I82" s="379">
        <v>-51.35</v>
      </c>
      <c r="J82" s="379">
        <v>50.26</v>
      </c>
      <c r="K82" s="379">
        <v>6.13</v>
      </c>
      <c r="L82" s="379">
        <v>12.29</v>
      </c>
      <c r="M82" s="379">
        <v>5.01</v>
      </c>
      <c r="N82" s="379">
        <v>8.19</v>
      </c>
    </row>
    <row r="83" spans="1:14">
      <c r="A83" s="290" t="s">
        <v>83</v>
      </c>
      <c r="B83" s="379">
        <v>8757.92</v>
      </c>
      <c r="C83" s="379">
        <v>2231.85</v>
      </c>
      <c r="D83" s="379">
        <v>2316.58</v>
      </c>
      <c r="E83" s="379">
        <v>515.17999999999995</v>
      </c>
      <c r="F83" s="379">
        <v>11565.15</v>
      </c>
      <c r="G83" s="379">
        <v>46.48</v>
      </c>
      <c r="H83" s="379">
        <v>212.56</v>
      </c>
      <c r="I83" s="379">
        <v>-76.92</v>
      </c>
      <c r="J83" s="379">
        <v>51.64</v>
      </c>
      <c r="K83" s="379">
        <v>2.91</v>
      </c>
      <c r="L83" s="379">
        <v>7.48</v>
      </c>
      <c r="M83" s="379">
        <v>1.79</v>
      </c>
      <c r="N83" s="379">
        <v>4.09</v>
      </c>
    </row>
    <row r="84" spans="1:14">
      <c r="A84" s="290" t="s">
        <v>84</v>
      </c>
      <c r="B84" s="379">
        <v>9671.18</v>
      </c>
      <c r="C84" s="379">
        <v>739.89</v>
      </c>
      <c r="D84" s="379">
        <v>1491.03</v>
      </c>
      <c r="E84" s="379">
        <v>930.53</v>
      </c>
      <c r="F84" s="379">
        <v>11602.71</v>
      </c>
      <c r="G84" s="379">
        <v>9.8000000000000007</v>
      </c>
      <c r="H84" s="379">
        <v>16.899999999999999</v>
      </c>
      <c r="I84" s="379">
        <v>25.77</v>
      </c>
      <c r="J84" s="379">
        <v>48.9</v>
      </c>
      <c r="K84" s="379">
        <v>3.22</v>
      </c>
      <c r="L84" s="379">
        <v>4.8099999999999996</v>
      </c>
      <c r="M84" s="379">
        <v>3.23</v>
      </c>
      <c r="N84" s="379">
        <v>4.0999999999999996</v>
      </c>
    </row>
    <row r="85" spans="1:14">
      <c r="A85" s="290" t="s">
        <v>85</v>
      </c>
      <c r="B85" s="379">
        <v>13295.75</v>
      </c>
      <c r="C85" s="379">
        <v>1165.83</v>
      </c>
      <c r="D85" s="379">
        <v>1168.68</v>
      </c>
      <c r="E85" s="379">
        <v>1180.05</v>
      </c>
      <c r="F85" s="379">
        <v>11508.74</v>
      </c>
      <c r="G85" s="379">
        <v>2</v>
      </c>
      <c r="H85" s="379">
        <v>4.1500000000000004</v>
      </c>
      <c r="I85" s="379">
        <v>1.22</v>
      </c>
      <c r="J85" s="379">
        <v>3.68</v>
      </c>
      <c r="K85" s="379">
        <v>4.42</v>
      </c>
      <c r="L85" s="379">
        <v>3.77</v>
      </c>
      <c r="M85" s="379">
        <v>4.09</v>
      </c>
      <c r="N85" s="379">
        <v>4.07</v>
      </c>
    </row>
    <row r="86" spans="1:14">
      <c r="A86" s="290" t="s">
        <v>86</v>
      </c>
      <c r="B86" s="379">
        <v>8789.4699999999993</v>
      </c>
      <c r="C86" s="379">
        <v>755.87</v>
      </c>
      <c r="D86" s="379">
        <v>707.17</v>
      </c>
      <c r="E86" s="379">
        <v>705.8</v>
      </c>
      <c r="F86" s="379">
        <v>7180.84</v>
      </c>
      <c r="G86" s="379">
        <v>-0.99</v>
      </c>
      <c r="H86" s="379">
        <v>-4.29</v>
      </c>
      <c r="I86" s="379">
        <v>-6.62</v>
      </c>
      <c r="J86" s="379">
        <v>-2.48</v>
      </c>
      <c r="K86" s="379">
        <v>2.92</v>
      </c>
      <c r="L86" s="379">
        <v>2.2799999999999998</v>
      </c>
      <c r="M86" s="379">
        <v>2.4500000000000002</v>
      </c>
      <c r="N86" s="379">
        <v>2.54</v>
      </c>
    </row>
    <row r="87" spans="1:14">
      <c r="A87" s="290" t="s">
        <v>121</v>
      </c>
      <c r="B87" s="379">
        <v>4506.28</v>
      </c>
      <c r="C87" s="379">
        <v>409.95</v>
      </c>
      <c r="D87" s="379">
        <v>461.51</v>
      </c>
      <c r="E87" s="379">
        <v>474.25</v>
      </c>
      <c r="F87" s="379">
        <v>4327.8999999999996</v>
      </c>
      <c r="G87" s="379">
        <v>8.39</v>
      </c>
      <c r="H87" s="379">
        <v>20.41</v>
      </c>
      <c r="I87" s="379">
        <v>15.68</v>
      </c>
      <c r="J87" s="379">
        <v>15.83</v>
      </c>
      <c r="K87" s="379">
        <v>1.5</v>
      </c>
      <c r="L87" s="379">
        <v>1.49</v>
      </c>
      <c r="M87" s="379">
        <v>1.64</v>
      </c>
      <c r="N87" s="379">
        <v>1.53</v>
      </c>
    </row>
    <row r="88" spans="1:14">
      <c r="A88" s="290" t="s">
        <v>87</v>
      </c>
      <c r="B88" s="379">
        <v>11447.29</v>
      </c>
      <c r="C88" s="379">
        <v>987.08</v>
      </c>
      <c r="D88" s="379">
        <v>1055.8499999999999</v>
      </c>
      <c r="E88" s="379">
        <v>1074.83</v>
      </c>
      <c r="F88" s="379">
        <v>10346.64</v>
      </c>
      <c r="G88" s="379">
        <v>3.25</v>
      </c>
      <c r="H88" s="379">
        <v>15.71</v>
      </c>
      <c r="I88" s="379">
        <v>8.89</v>
      </c>
      <c r="J88" s="379">
        <v>8.6300000000000008</v>
      </c>
      <c r="K88" s="379">
        <v>3.81</v>
      </c>
      <c r="L88" s="379">
        <v>3.41</v>
      </c>
      <c r="M88" s="379">
        <v>3.73</v>
      </c>
      <c r="N88" s="379">
        <v>3.66</v>
      </c>
    </row>
    <row r="89" spans="1:14">
      <c r="A89" s="290" t="s">
        <v>88</v>
      </c>
      <c r="B89" s="379">
        <v>6628.41</v>
      </c>
      <c r="C89" s="379">
        <v>524.70000000000005</v>
      </c>
      <c r="D89" s="379">
        <v>584.94000000000005</v>
      </c>
      <c r="E89" s="379">
        <v>614.46</v>
      </c>
      <c r="F89" s="379">
        <v>5724.71</v>
      </c>
      <c r="G89" s="379">
        <v>-4.67</v>
      </c>
      <c r="H89" s="379">
        <v>14.33</v>
      </c>
      <c r="I89" s="379">
        <v>17.11</v>
      </c>
      <c r="J89" s="379">
        <v>2.85</v>
      </c>
      <c r="K89" s="379">
        <v>2.2000000000000002</v>
      </c>
      <c r="L89" s="379">
        <v>1.89</v>
      </c>
      <c r="M89" s="379">
        <v>2.13</v>
      </c>
      <c r="N89" s="379">
        <v>2.02</v>
      </c>
    </row>
    <row r="90" spans="1:14">
      <c r="A90" s="290" t="s">
        <v>122</v>
      </c>
      <c r="B90" s="379">
        <v>3291.32</v>
      </c>
      <c r="C90" s="379">
        <v>322.69</v>
      </c>
      <c r="D90" s="379">
        <v>330.77</v>
      </c>
      <c r="E90" s="379">
        <v>310.49</v>
      </c>
      <c r="F90" s="379">
        <v>3205.97</v>
      </c>
      <c r="G90" s="379">
        <v>25.55</v>
      </c>
      <c r="H90" s="379">
        <v>20.87</v>
      </c>
      <c r="I90" s="379">
        <v>-3.78</v>
      </c>
      <c r="J90" s="379">
        <v>19.239999999999998</v>
      </c>
      <c r="K90" s="379">
        <v>1.0900000000000001</v>
      </c>
      <c r="L90" s="379">
        <v>1.07</v>
      </c>
      <c r="M90" s="379">
        <v>1.08</v>
      </c>
      <c r="N90" s="379">
        <v>1.1299999999999999</v>
      </c>
    </row>
    <row r="91" spans="1:14">
      <c r="A91" s="290" t="s">
        <v>89</v>
      </c>
      <c r="B91" s="379">
        <v>6200.15</v>
      </c>
      <c r="C91" s="379">
        <v>536.48</v>
      </c>
      <c r="D91" s="379">
        <v>504.71</v>
      </c>
      <c r="E91" s="379">
        <v>509.51</v>
      </c>
      <c r="F91" s="379">
        <v>5128.04</v>
      </c>
      <c r="G91" s="379">
        <v>2.78</v>
      </c>
      <c r="H91" s="379">
        <v>2.36</v>
      </c>
      <c r="I91" s="379">
        <v>-5.03</v>
      </c>
      <c r="J91" s="379">
        <v>-0.4</v>
      </c>
      <c r="K91" s="379">
        <v>2.06</v>
      </c>
      <c r="L91" s="379">
        <v>1.63</v>
      </c>
      <c r="M91" s="379">
        <v>1.77</v>
      </c>
      <c r="N91" s="379">
        <v>1.81</v>
      </c>
    </row>
    <row r="92" spans="1:14">
      <c r="A92" s="290" t="s">
        <v>90</v>
      </c>
      <c r="B92" s="379">
        <v>14231.14</v>
      </c>
      <c r="C92" s="379">
        <v>1323.41</v>
      </c>
      <c r="D92" s="379">
        <v>1295.79</v>
      </c>
      <c r="E92" s="379">
        <v>1341.12</v>
      </c>
      <c r="F92" s="379">
        <v>13071.84</v>
      </c>
      <c r="G92" s="379">
        <v>7.51</v>
      </c>
      <c r="H92" s="379">
        <v>7.4</v>
      </c>
      <c r="I92" s="379">
        <v>1.34</v>
      </c>
      <c r="J92" s="379">
        <v>13.65</v>
      </c>
      <c r="K92" s="379">
        <v>4.7300000000000004</v>
      </c>
      <c r="L92" s="379">
        <v>4.18</v>
      </c>
      <c r="M92" s="379">
        <v>4.6500000000000004</v>
      </c>
      <c r="N92" s="379">
        <v>4.62</v>
      </c>
    </row>
    <row r="93" spans="1:14">
      <c r="A93" s="290" t="s">
        <v>91</v>
      </c>
      <c r="B93" s="379">
        <v>7561.46</v>
      </c>
      <c r="C93" s="379">
        <v>675.51</v>
      </c>
      <c r="D93" s="379">
        <v>647.53</v>
      </c>
      <c r="E93" s="379">
        <v>647.96</v>
      </c>
      <c r="F93" s="379">
        <v>6551.17</v>
      </c>
      <c r="G93" s="379">
        <v>5.87</v>
      </c>
      <c r="H93" s="379">
        <v>-2.4</v>
      </c>
      <c r="I93" s="379">
        <v>-4.08</v>
      </c>
      <c r="J93" s="379">
        <v>4.22</v>
      </c>
      <c r="K93" s="379">
        <v>2.5099999999999998</v>
      </c>
      <c r="L93" s="379">
        <v>2.09</v>
      </c>
      <c r="M93" s="379">
        <v>2.25</v>
      </c>
      <c r="N93" s="379">
        <v>2.3199999999999998</v>
      </c>
    </row>
    <row r="94" spans="1:14">
      <c r="A94" s="290" t="s">
        <v>92</v>
      </c>
      <c r="B94" s="379">
        <v>1481.08</v>
      </c>
      <c r="C94" s="379">
        <v>134.87</v>
      </c>
      <c r="D94" s="379">
        <v>116.7</v>
      </c>
      <c r="E94" s="379">
        <v>117.62</v>
      </c>
      <c r="F94" s="379">
        <v>1185.1600000000001</v>
      </c>
      <c r="G94" s="379">
        <v>16.82</v>
      </c>
      <c r="H94" s="379">
        <v>-7.64</v>
      </c>
      <c r="I94" s="379">
        <v>-12.79</v>
      </c>
      <c r="J94" s="379">
        <v>-2.4300000000000002</v>
      </c>
      <c r="K94" s="379">
        <v>0.49</v>
      </c>
      <c r="L94" s="379">
        <v>0.38</v>
      </c>
      <c r="M94" s="379">
        <v>0.41</v>
      </c>
      <c r="N94" s="379">
        <v>0.42</v>
      </c>
    </row>
    <row r="95" spans="1:14">
      <c r="A95" s="290" t="s">
        <v>93</v>
      </c>
      <c r="B95" s="379">
        <v>8422.34</v>
      </c>
      <c r="C95" s="379">
        <v>776.48</v>
      </c>
      <c r="D95" s="379">
        <v>677.65</v>
      </c>
      <c r="E95" s="379">
        <v>737.58</v>
      </c>
      <c r="F95" s="379">
        <v>6931.73</v>
      </c>
      <c r="G95" s="379">
        <v>4.55</v>
      </c>
      <c r="H95" s="379">
        <v>-0.59</v>
      </c>
      <c r="I95" s="379">
        <v>-5.01</v>
      </c>
      <c r="J95" s="379">
        <v>-0.28000000000000003</v>
      </c>
      <c r="K95" s="379">
        <v>2.8</v>
      </c>
      <c r="L95" s="379">
        <v>2.19</v>
      </c>
      <c r="M95" s="379">
        <v>2.56</v>
      </c>
      <c r="N95" s="379">
        <v>2.4500000000000002</v>
      </c>
    </row>
    <row r="96" spans="1:14">
      <c r="A96" s="290" t="s">
        <v>94</v>
      </c>
      <c r="B96" s="379">
        <v>10320.040000000001</v>
      </c>
      <c r="C96" s="379">
        <v>1032.57</v>
      </c>
      <c r="D96" s="379">
        <v>1025.43</v>
      </c>
      <c r="E96" s="379">
        <v>1058.24</v>
      </c>
      <c r="F96" s="379">
        <v>9845.43</v>
      </c>
      <c r="G96" s="379">
        <v>17.39</v>
      </c>
      <c r="H96" s="379">
        <v>11.32</v>
      </c>
      <c r="I96" s="379">
        <v>2.4900000000000002</v>
      </c>
      <c r="J96" s="379">
        <v>16.239999999999998</v>
      </c>
      <c r="K96" s="379">
        <v>3.43</v>
      </c>
      <c r="L96" s="379">
        <v>3.31</v>
      </c>
      <c r="M96" s="379">
        <v>3.67</v>
      </c>
      <c r="N96" s="379">
        <v>3.48</v>
      </c>
    </row>
    <row r="97" spans="1:14">
      <c r="A97" s="290" t="s">
        <v>95</v>
      </c>
      <c r="B97" s="379">
        <v>3571.83</v>
      </c>
      <c r="C97" s="379">
        <v>320.63</v>
      </c>
      <c r="D97" s="379">
        <v>310.29000000000002</v>
      </c>
      <c r="E97" s="379">
        <v>286.64</v>
      </c>
      <c r="F97" s="379">
        <v>2998.77</v>
      </c>
      <c r="G97" s="379">
        <v>5.64</v>
      </c>
      <c r="H97" s="379">
        <v>0.15</v>
      </c>
      <c r="I97" s="379">
        <v>-10.6</v>
      </c>
      <c r="J97" s="379">
        <v>-0.94</v>
      </c>
      <c r="K97" s="379">
        <v>1.19</v>
      </c>
      <c r="L97" s="379">
        <v>1</v>
      </c>
      <c r="M97" s="379">
        <v>0.99</v>
      </c>
      <c r="N97" s="379">
        <v>1.06</v>
      </c>
    </row>
    <row r="98" spans="1:14">
      <c r="A98" s="290" t="s">
        <v>96</v>
      </c>
      <c r="B98" s="379">
        <v>1455.38</v>
      </c>
      <c r="C98" s="379">
        <v>130.06</v>
      </c>
      <c r="D98" s="379">
        <v>157.38</v>
      </c>
      <c r="E98" s="379">
        <v>174.39</v>
      </c>
      <c r="F98" s="379">
        <v>1475.39</v>
      </c>
      <c r="G98" s="379">
        <v>7.24</v>
      </c>
      <c r="H98" s="379">
        <v>24.25</v>
      </c>
      <c r="I98" s="379">
        <v>34.08</v>
      </c>
      <c r="J98" s="379">
        <v>23.24</v>
      </c>
      <c r="K98" s="379">
        <v>0.48</v>
      </c>
      <c r="L98" s="379">
        <v>0.51</v>
      </c>
      <c r="M98" s="379">
        <v>0.6</v>
      </c>
      <c r="N98" s="379">
        <v>0.52</v>
      </c>
    </row>
    <row r="99" spans="1:14">
      <c r="A99" s="290" t="s">
        <v>97</v>
      </c>
      <c r="B99" s="379">
        <v>1741.07</v>
      </c>
      <c r="C99" s="379">
        <v>166.66</v>
      </c>
      <c r="D99" s="379">
        <v>164.45</v>
      </c>
      <c r="E99" s="379">
        <v>173.62</v>
      </c>
      <c r="F99" s="379">
        <v>1507.85</v>
      </c>
      <c r="G99" s="379">
        <v>9.7200000000000006</v>
      </c>
      <c r="H99" s="379">
        <v>0.99</v>
      </c>
      <c r="I99" s="379">
        <v>4.18</v>
      </c>
      <c r="J99" s="379">
        <v>5.63</v>
      </c>
      <c r="K99" s="379">
        <v>0.57999999999999996</v>
      </c>
      <c r="L99" s="379">
        <v>0.53</v>
      </c>
      <c r="M99" s="379">
        <v>0.6</v>
      </c>
      <c r="N99" s="379">
        <v>0.53</v>
      </c>
    </row>
    <row r="100" spans="1:14">
      <c r="A100" s="290" t="s">
        <v>123</v>
      </c>
      <c r="B100" s="379">
        <v>1102.6400000000001</v>
      </c>
      <c r="C100" s="379">
        <v>103.55</v>
      </c>
      <c r="D100" s="379">
        <v>103.7</v>
      </c>
      <c r="E100" s="379">
        <v>106.72</v>
      </c>
      <c r="F100" s="379">
        <v>958.71</v>
      </c>
      <c r="G100" s="379">
        <v>13.59</v>
      </c>
      <c r="H100" s="379">
        <v>-1.74</v>
      </c>
      <c r="I100" s="379">
        <v>3.06</v>
      </c>
      <c r="J100" s="379">
        <v>6.29</v>
      </c>
      <c r="K100" s="379">
        <v>0.37</v>
      </c>
      <c r="L100" s="379">
        <v>0.33</v>
      </c>
      <c r="M100" s="379">
        <v>0.37</v>
      </c>
      <c r="N100" s="379">
        <v>0.34</v>
      </c>
    </row>
    <row r="101" spans="1:14">
      <c r="A101" s="290" t="s">
        <v>124</v>
      </c>
      <c r="B101" s="379">
        <v>638.42999999999995</v>
      </c>
      <c r="C101" s="379">
        <v>63.1</v>
      </c>
      <c r="D101" s="379">
        <v>60.76</v>
      </c>
      <c r="E101" s="379">
        <v>66.89</v>
      </c>
      <c r="F101" s="379">
        <v>549.13</v>
      </c>
      <c r="G101" s="379">
        <v>3.61</v>
      </c>
      <c r="H101" s="379">
        <v>6.08</v>
      </c>
      <c r="I101" s="379">
        <v>6.01</v>
      </c>
      <c r="J101" s="379">
        <v>4.49</v>
      </c>
      <c r="K101" s="379">
        <v>0.21</v>
      </c>
      <c r="L101" s="379">
        <v>0.2</v>
      </c>
      <c r="M101" s="379">
        <v>0.23</v>
      </c>
      <c r="N101" s="379">
        <v>0.19</v>
      </c>
    </row>
    <row r="102" spans="1:14">
      <c r="A102" s="290" t="s">
        <v>98</v>
      </c>
      <c r="B102" s="379">
        <v>617.98</v>
      </c>
      <c r="C102" s="379">
        <v>55.89</v>
      </c>
      <c r="D102" s="379">
        <v>70.17</v>
      </c>
      <c r="E102" s="379">
        <v>64.739999999999995</v>
      </c>
      <c r="F102" s="379">
        <v>561.73</v>
      </c>
      <c r="G102" s="379">
        <v>-0.26</v>
      </c>
      <c r="H102" s="379">
        <v>32.75</v>
      </c>
      <c r="I102" s="379">
        <v>15.83</v>
      </c>
      <c r="J102" s="379">
        <v>8.6</v>
      </c>
      <c r="K102" s="379">
        <v>0.21</v>
      </c>
      <c r="L102" s="379">
        <v>0.23</v>
      </c>
      <c r="M102" s="379">
        <v>0.22</v>
      </c>
      <c r="N102" s="379">
        <v>0.2</v>
      </c>
    </row>
    <row r="103" spans="1:14">
      <c r="A103" s="290" t="s">
        <v>99</v>
      </c>
      <c r="B103" s="379">
        <v>725.14</v>
      </c>
      <c r="C103" s="379">
        <v>59.64</v>
      </c>
      <c r="D103" s="379">
        <v>56.3</v>
      </c>
      <c r="E103" s="379">
        <v>51.38</v>
      </c>
      <c r="F103" s="379">
        <v>556.20000000000005</v>
      </c>
      <c r="G103" s="379">
        <v>5.1100000000000003</v>
      </c>
      <c r="H103" s="379">
        <v>-3.76</v>
      </c>
      <c r="I103" s="379">
        <v>-13.85</v>
      </c>
      <c r="J103" s="379">
        <v>-8.0500000000000007</v>
      </c>
      <c r="K103" s="379">
        <v>0.24</v>
      </c>
      <c r="L103" s="379">
        <v>0.18</v>
      </c>
      <c r="M103" s="379">
        <v>0.18</v>
      </c>
      <c r="N103" s="379">
        <v>0.2</v>
      </c>
    </row>
    <row r="104" spans="1:14">
      <c r="A104" s="290" t="s">
        <v>125</v>
      </c>
      <c r="B104" s="379">
        <v>562.30999999999995</v>
      </c>
      <c r="C104" s="379">
        <v>52.88</v>
      </c>
      <c r="D104" s="379">
        <v>40.68</v>
      </c>
      <c r="E104" s="379">
        <v>51.01</v>
      </c>
      <c r="F104" s="379">
        <v>487.1</v>
      </c>
      <c r="G104" s="379">
        <v>-2.19</v>
      </c>
      <c r="H104" s="379">
        <v>-6.68</v>
      </c>
      <c r="I104" s="379">
        <v>-3.54</v>
      </c>
      <c r="J104" s="379">
        <v>5.15</v>
      </c>
      <c r="K104" s="379">
        <v>0.19</v>
      </c>
      <c r="L104" s="379">
        <v>0.13</v>
      </c>
      <c r="M104" s="379">
        <v>0.18</v>
      </c>
      <c r="N104" s="379">
        <v>0.17</v>
      </c>
    </row>
    <row r="105" spans="1:14">
      <c r="A105" s="290" t="s">
        <v>126</v>
      </c>
      <c r="B105" s="379">
        <v>557.46</v>
      </c>
      <c r="C105" s="379">
        <v>45.77</v>
      </c>
      <c r="D105" s="379">
        <v>78.599999999999994</v>
      </c>
      <c r="E105" s="379">
        <v>70.760000000000005</v>
      </c>
      <c r="F105" s="379">
        <v>592.16</v>
      </c>
      <c r="G105" s="379">
        <v>-0.62</v>
      </c>
      <c r="H105" s="379">
        <v>75.64</v>
      </c>
      <c r="I105" s="379">
        <v>54.6</v>
      </c>
      <c r="J105" s="379">
        <v>26.85</v>
      </c>
      <c r="K105" s="379">
        <v>0.19</v>
      </c>
      <c r="L105" s="379">
        <v>0.25</v>
      </c>
      <c r="M105" s="379">
        <v>0.25</v>
      </c>
      <c r="N105" s="379">
        <v>0.21</v>
      </c>
    </row>
    <row r="106" spans="1:14">
      <c r="A106" s="290" t="s">
        <v>127</v>
      </c>
      <c r="B106" s="379">
        <v>691.77</v>
      </c>
      <c r="C106" s="379">
        <v>62.04</v>
      </c>
      <c r="D106" s="379">
        <v>59.59</v>
      </c>
      <c r="E106" s="379">
        <v>47.14</v>
      </c>
      <c r="F106" s="379">
        <v>581.77</v>
      </c>
      <c r="G106" s="379">
        <v>4.53</v>
      </c>
      <c r="H106" s="379">
        <v>-26.01</v>
      </c>
      <c r="I106" s="379">
        <v>-24.02</v>
      </c>
      <c r="J106" s="379">
        <v>-4.29</v>
      </c>
      <c r="K106" s="379">
        <v>0.23</v>
      </c>
      <c r="L106" s="379">
        <v>0.19</v>
      </c>
      <c r="M106" s="379">
        <v>0.16</v>
      </c>
      <c r="N106" s="379">
        <v>0.21</v>
      </c>
    </row>
    <row r="107" spans="1:14">
      <c r="A107" s="290" t="s">
        <v>100</v>
      </c>
      <c r="B107" s="379">
        <v>10880.7</v>
      </c>
      <c r="C107" s="379">
        <v>965.78</v>
      </c>
      <c r="D107" s="379">
        <v>621.24</v>
      </c>
      <c r="E107" s="379">
        <v>780.56</v>
      </c>
      <c r="F107" s="379">
        <v>7408.6</v>
      </c>
      <c r="G107" s="379">
        <v>-6.57</v>
      </c>
      <c r="H107" s="379">
        <v>-24.56</v>
      </c>
      <c r="I107" s="379">
        <v>-19.18</v>
      </c>
      <c r="J107" s="379">
        <v>-19.440000000000001</v>
      </c>
      <c r="K107" s="379">
        <v>3.62</v>
      </c>
      <c r="L107" s="379">
        <v>2.0099999999999998</v>
      </c>
      <c r="M107" s="379">
        <v>2.71</v>
      </c>
      <c r="N107" s="379">
        <v>2.62</v>
      </c>
    </row>
    <row r="108" spans="1:14">
      <c r="A108" s="290" t="s">
        <v>101</v>
      </c>
      <c r="B108" s="379">
        <v>9216.9500000000007</v>
      </c>
      <c r="C108" s="379">
        <v>874.06</v>
      </c>
      <c r="D108" s="379">
        <v>509.23</v>
      </c>
      <c r="E108" s="379">
        <v>680.65</v>
      </c>
      <c r="F108" s="379">
        <v>6280.81</v>
      </c>
      <c r="G108" s="379">
        <v>-9.58</v>
      </c>
      <c r="H108" s="379">
        <v>-30.39</v>
      </c>
      <c r="I108" s="379">
        <v>-22.13</v>
      </c>
      <c r="J108" s="379">
        <v>-19.260000000000002</v>
      </c>
      <c r="K108" s="379">
        <v>3.06</v>
      </c>
      <c r="L108" s="379">
        <v>1.64</v>
      </c>
      <c r="M108" s="379">
        <v>2.36</v>
      </c>
      <c r="N108" s="379">
        <v>2.2200000000000002</v>
      </c>
    </row>
    <row r="109" spans="1:14">
      <c r="A109" s="290" t="s">
        <v>102</v>
      </c>
      <c r="B109" s="379">
        <v>0</v>
      </c>
      <c r="C109" s="379">
        <v>0</v>
      </c>
      <c r="D109" s="379">
        <v>0</v>
      </c>
      <c r="E109" s="379">
        <v>0</v>
      </c>
      <c r="F109" s="379">
        <v>0.02</v>
      </c>
      <c r="G109" s="379">
        <v>0</v>
      </c>
      <c r="H109" s="379">
        <v>0</v>
      </c>
      <c r="I109" s="379">
        <v>0</v>
      </c>
      <c r="J109" s="379">
        <v>0</v>
      </c>
      <c r="K109" s="379">
        <v>0</v>
      </c>
      <c r="L109" s="379">
        <v>0</v>
      </c>
      <c r="M109" s="379">
        <v>0</v>
      </c>
      <c r="N109" s="379"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09"/>
  <sheetViews>
    <sheetView zoomScale="85" zoomScaleNormal="85" workbookViewId="0">
      <selection activeCell="B4" sqref="B4:N109"/>
    </sheetView>
  </sheetViews>
  <sheetFormatPr defaultColWidth="11.375" defaultRowHeight="15.6"/>
  <cols>
    <col min="1" max="1" width="38" style="290" customWidth="1"/>
    <col min="2" max="2" width="19.75" style="290" bestFit="1" customWidth="1"/>
    <col min="3" max="3" width="17.375" style="290" bestFit="1" customWidth="1"/>
    <col min="4" max="4" width="19.75" style="290" bestFit="1" customWidth="1"/>
    <col min="5" max="5" width="17.375" style="290" bestFit="1" customWidth="1"/>
    <col min="6" max="6" width="19.75" style="290" bestFit="1" customWidth="1"/>
    <col min="7" max="9" width="11.75" style="290" bestFit="1" customWidth="1"/>
    <col min="10" max="10" width="12.75" style="290" bestFit="1" customWidth="1"/>
    <col min="11" max="14" width="14.375" style="290" bestFit="1" customWidth="1"/>
    <col min="15" max="16384" width="11.375" style="290"/>
  </cols>
  <sheetData>
    <row r="1" spans="1:14">
      <c r="A1" s="290" t="s">
        <v>9</v>
      </c>
      <c r="B1" s="290" t="s">
        <v>103</v>
      </c>
      <c r="G1" s="290" t="s">
        <v>39</v>
      </c>
      <c r="K1" s="290" t="s">
        <v>40</v>
      </c>
    </row>
    <row r="2" spans="1:14" s="351" customFormat="1">
      <c r="B2" s="351">
        <f>+'T3_data(t)'!B2-1</f>
        <v>2566</v>
      </c>
      <c r="C2" s="351">
        <f>+'T3_data(t)'!C2-1</f>
        <v>2566</v>
      </c>
      <c r="D2" s="351">
        <f>+'T3_data(t)'!D2-1</f>
        <v>2567</v>
      </c>
      <c r="E2" s="351">
        <f>+'T3_data(t)'!E2-1</f>
        <v>2567</v>
      </c>
      <c r="F2" s="351">
        <f>+'T3_data(t)'!F2-1</f>
        <v>2567</v>
      </c>
      <c r="G2" s="351">
        <f>+'T3_data(t)'!G2-1</f>
        <v>2566</v>
      </c>
      <c r="H2" s="351">
        <f>+'T3_data(t)'!H2-1</f>
        <v>2567</v>
      </c>
      <c r="I2" s="351">
        <f>+'T3_data(t)'!I2-1</f>
        <v>2567</v>
      </c>
      <c r="J2" s="351">
        <f>+'T3_data(t)'!J2-1</f>
        <v>2567</v>
      </c>
      <c r="K2" s="351">
        <f>+'T3_data(t)'!K2-1</f>
        <v>2566</v>
      </c>
      <c r="L2" s="351">
        <f>+'T3_data(t)'!L2-1</f>
        <v>2567</v>
      </c>
      <c r="M2" s="351">
        <f>+'T3_data(t)'!M2-1</f>
        <v>2567</v>
      </c>
      <c r="N2" s="351">
        <f>+'T3_data(t)'!N2-1</f>
        <v>2567</v>
      </c>
    </row>
    <row r="3" spans="1:14" s="351" customFormat="1">
      <c r="B3" s="351" t="str">
        <f>'T3_data(t)'!B3</f>
        <v>ม.ค.-ธ.ค.</v>
      </c>
      <c r="C3" s="351" t="str">
        <f>'T3_data(t)'!C3</f>
        <v>ต.ค.</v>
      </c>
      <c r="D3" s="351" t="str">
        <f>'T3_data(t)'!D3</f>
        <v>ก.ย.</v>
      </c>
      <c r="E3" s="351" t="str">
        <f>'T3_data(t)'!E3</f>
        <v>ต.ค.</v>
      </c>
      <c r="F3" s="351" t="str">
        <f>'T3_data(t)'!F3</f>
        <v>ม.ค.-ต.ค.</v>
      </c>
      <c r="G3" s="351" t="str">
        <f>'T3_data(t)'!G3</f>
        <v>ม.ค.-ธ.ค.</v>
      </c>
      <c r="H3" s="351" t="str">
        <f>'T3_data(t)'!H3</f>
        <v>ก.ย.</v>
      </c>
      <c r="I3" s="351" t="str">
        <f>'T3_data(t)'!I3</f>
        <v>ต.ค.</v>
      </c>
      <c r="J3" s="351" t="str">
        <f>'T3_data(t)'!J3</f>
        <v>ม.ค.-ต.ค.</v>
      </c>
      <c r="K3" s="351" t="str">
        <f>'T3_data(t)'!K3</f>
        <v>ม.ค.-ธ.ค.</v>
      </c>
      <c r="L3" s="351" t="str">
        <f>'T3_data(t)'!L3</f>
        <v>ก.ย.</v>
      </c>
      <c r="M3" s="351" t="str">
        <f>'T3_data(t)'!M3</f>
        <v>ต.ค.</v>
      </c>
      <c r="N3" s="351" t="str">
        <f>'T3_data(t)'!N3</f>
        <v>ม.ค.-ต.ค.</v>
      </c>
    </row>
    <row r="4" spans="1:14">
      <c r="A4" s="290" t="s">
        <v>42</v>
      </c>
      <c r="B4" s="379">
        <v>285074.28999999998</v>
      </c>
      <c r="C4" s="379">
        <v>23753.200000000001</v>
      </c>
      <c r="D4" s="379">
        <v>26026.11</v>
      </c>
      <c r="E4" s="379">
        <v>27290.14</v>
      </c>
      <c r="F4" s="379">
        <v>250337.18</v>
      </c>
      <c r="G4" s="379">
        <v>-0.82</v>
      </c>
      <c r="H4" s="379">
        <v>1.29</v>
      </c>
      <c r="I4" s="379">
        <v>14.89</v>
      </c>
      <c r="J4" s="379">
        <v>4.91</v>
      </c>
      <c r="K4" s="379">
        <v>100</v>
      </c>
      <c r="L4" s="379">
        <v>100</v>
      </c>
      <c r="M4" s="379">
        <v>100</v>
      </c>
      <c r="N4" s="379">
        <v>100</v>
      </c>
    </row>
    <row r="5" spans="1:14">
      <c r="A5" s="290" t="s">
        <v>43</v>
      </c>
      <c r="B5" s="379">
        <v>49255.59</v>
      </c>
      <c r="C5" s="379">
        <v>3943.71</v>
      </c>
      <c r="D5" s="379">
        <v>4364.37</v>
      </c>
      <c r="E5" s="379">
        <v>4239</v>
      </c>
      <c r="F5" s="379">
        <v>44357.06</v>
      </c>
      <c r="G5" s="379">
        <v>-0.56000000000000005</v>
      </c>
      <c r="H5" s="379">
        <v>4.04</v>
      </c>
      <c r="I5" s="379">
        <v>7.49</v>
      </c>
      <c r="J5" s="379">
        <v>5.95</v>
      </c>
      <c r="K5" s="379">
        <v>17.28</v>
      </c>
      <c r="L5" s="379">
        <v>16.77</v>
      </c>
      <c r="M5" s="379">
        <v>15.53</v>
      </c>
      <c r="N5" s="379">
        <v>17.72</v>
      </c>
    </row>
    <row r="6" spans="1:14">
      <c r="A6" s="290" t="s">
        <v>44</v>
      </c>
      <c r="B6" s="379">
        <v>26814.76</v>
      </c>
      <c r="C6" s="379">
        <v>2152.4499999999998</v>
      </c>
      <c r="D6" s="379">
        <v>2390.46</v>
      </c>
      <c r="E6" s="379">
        <v>2299.4899999999998</v>
      </c>
      <c r="F6" s="379">
        <v>24572.080000000002</v>
      </c>
      <c r="G6" s="379">
        <v>0.28000000000000003</v>
      </c>
      <c r="H6" s="379">
        <v>1.0900000000000001</v>
      </c>
      <c r="I6" s="379">
        <v>6.83</v>
      </c>
      <c r="J6" s="379">
        <v>7.71</v>
      </c>
      <c r="K6" s="379">
        <v>9.41</v>
      </c>
      <c r="L6" s="379">
        <v>9.18</v>
      </c>
      <c r="M6" s="379">
        <v>8.43</v>
      </c>
      <c r="N6" s="379">
        <v>9.82</v>
      </c>
    </row>
    <row r="7" spans="1:14">
      <c r="A7" s="290" t="s">
        <v>45</v>
      </c>
      <c r="B7" s="379">
        <v>22440.82</v>
      </c>
      <c r="C7" s="379">
        <v>1791.26</v>
      </c>
      <c r="D7" s="379">
        <v>1973.91</v>
      </c>
      <c r="E7" s="379">
        <v>1939.5</v>
      </c>
      <c r="F7" s="379">
        <v>19784.98</v>
      </c>
      <c r="G7" s="379">
        <v>-1.55</v>
      </c>
      <c r="H7" s="379">
        <v>7.84</v>
      </c>
      <c r="I7" s="379">
        <v>8.2799999999999994</v>
      </c>
      <c r="J7" s="379">
        <v>3.84</v>
      </c>
      <c r="K7" s="379">
        <v>7.87</v>
      </c>
      <c r="L7" s="379">
        <v>7.58</v>
      </c>
      <c r="M7" s="379">
        <v>7.11</v>
      </c>
      <c r="N7" s="379">
        <v>7.9</v>
      </c>
    </row>
    <row r="8" spans="1:14">
      <c r="A8" s="290" t="s">
        <v>46</v>
      </c>
      <c r="B8" s="379">
        <v>5147.34</v>
      </c>
      <c r="C8" s="379">
        <v>524.05999999999995</v>
      </c>
      <c r="D8" s="379">
        <v>580.87</v>
      </c>
      <c r="E8" s="379">
        <v>577.08000000000004</v>
      </c>
      <c r="F8" s="379">
        <v>5460.91</v>
      </c>
      <c r="G8" s="379">
        <v>29.4</v>
      </c>
      <c r="H8" s="379">
        <v>17.649999999999999</v>
      </c>
      <c r="I8" s="379">
        <v>10.119999999999999</v>
      </c>
      <c r="J8" s="379">
        <v>37.29</v>
      </c>
      <c r="K8" s="379">
        <v>1.81</v>
      </c>
      <c r="L8" s="379">
        <v>2.23</v>
      </c>
      <c r="M8" s="379">
        <v>2.11</v>
      </c>
      <c r="N8" s="379">
        <v>2.1800000000000002</v>
      </c>
    </row>
    <row r="9" spans="1:14">
      <c r="A9" s="290" t="s">
        <v>47</v>
      </c>
      <c r="B9" s="379">
        <v>8769043.8300000001</v>
      </c>
      <c r="C9" s="379">
        <v>840513.12</v>
      </c>
      <c r="D9" s="379">
        <v>903698.11</v>
      </c>
      <c r="E9" s="379">
        <v>901344.57</v>
      </c>
      <c r="F9" s="379">
        <v>8438916.6899999995</v>
      </c>
      <c r="G9" s="379">
        <v>13.73</v>
      </c>
      <c r="H9" s="379">
        <v>11.87</v>
      </c>
      <c r="I9" s="379">
        <v>7.24</v>
      </c>
      <c r="J9" s="379">
        <v>21.53</v>
      </c>
      <c r="K9" s="379">
        <v>3076.06</v>
      </c>
      <c r="L9" s="379">
        <v>3472.27</v>
      </c>
      <c r="M9" s="379">
        <v>3302.82</v>
      </c>
      <c r="N9" s="379">
        <v>3371.02</v>
      </c>
    </row>
    <row r="10" spans="1:14">
      <c r="A10" s="290" t="s">
        <v>48</v>
      </c>
      <c r="B10" s="379">
        <v>3648.56</v>
      </c>
      <c r="C10" s="379">
        <v>344.06</v>
      </c>
      <c r="D10" s="379">
        <v>435.02</v>
      </c>
      <c r="E10" s="379">
        <v>456.12</v>
      </c>
      <c r="F10" s="379">
        <v>4124.4799999999996</v>
      </c>
      <c r="G10" s="379">
        <v>-29.16</v>
      </c>
      <c r="H10" s="379">
        <v>47.4</v>
      </c>
      <c r="I10" s="379">
        <v>32.57</v>
      </c>
      <c r="J10" s="379">
        <v>38.39</v>
      </c>
      <c r="K10" s="379">
        <v>1.28</v>
      </c>
      <c r="L10" s="379">
        <v>1.67</v>
      </c>
      <c r="M10" s="379">
        <v>1.67</v>
      </c>
      <c r="N10" s="379">
        <v>1.65</v>
      </c>
    </row>
    <row r="11" spans="1:14">
      <c r="A11" s="290" t="s">
        <v>47</v>
      </c>
      <c r="B11" s="379">
        <v>2723653.92</v>
      </c>
      <c r="C11" s="379">
        <v>261605.67</v>
      </c>
      <c r="D11" s="379">
        <v>228034.2</v>
      </c>
      <c r="E11" s="379">
        <v>224754.15</v>
      </c>
      <c r="F11" s="379">
        <v>2392713.73</v>
      </c>
      <c r="G11" s="379">
        <v>-16.98</v>
      </c>
      <c r="H11" s="379">
        <v>-0.55000000000000004</v>
      </c>
      <c r="I11" s="379">
        <v>-14.09</v>
      </c>
      <c r="J11" s="379">
        <v>6.35</v>
      </c>
      <c r="K11" s="379">
        <v>955.42</v>
      </c>
      <c r="L11" s="379">
        <v>876.17</v>
      </c>
      <c r="M11" s="379">
        <v>823.57</v>
      </c>
      <c r="N11" s="379">
        <v>955.8</v>
      </c>
    </row>
    <row r="12" spans="1:14">
      <c r="A12" s="290" t="s">
        <v>104</v>
      </c>
      <c r="B12" s="379">
        <v>566.33000000000004</v>
      </c>
      <c r="C12" s="379">
        <v>39.770000000000003</v>
      </c>
      <c r="D12" s="379">
        <v>80.87</v>
      </c>
      <c r="E12" s="379">
        <v>85.6</v>
      </c>
      <c r="F12" s="379">
        <v>631.86</v>
      </c>
      <c r="G12" s="379">
        <v>-35.270000000000003</v>
      </c>
      <c r="H12" s="379">
        <v>80.92</v>
      </c>
      <c r="I12" s="379">
        <v>115.24</v>
      </c>
      <c r="J12" s="379">
        <v>33.57</v>
      </c>
      <c r="K12" s="379">
        <v>0.2</v>
      </c>
      <c r="L12" s="379">
        <v>0.31</v>
      </c>
      <c r="M12" s="379">
        <v>0.31</v>
      </c>
      <c r="N12" s="379">
        <v>0.25</v>
      </c>
    </row>
    <row r="13" spans="1:14">
      <c r="A13" s="290" t="s">
        <v>47</v>
      </c>
      <c r="B13" s="379">
        <v>354265.44</v>
      </c>
      <c r="C13" s="379">
        <v>25546.85</v>
      </c>
      <c r="D13" s="379">
        <v>33268.699999999997</v>
      </c>
      <c r="E13" s="379">
        <v>31178.66</v>
      </c>
      <c r="F13" s="379">
        <v>283735.52</v>
      </c>
      <c r="G13" s="379">
        <v>-22.63</v>
      </c>
      <c r="H13" s="379">
        <v>14.87</v>
      </c>
      <c r="I13" s="379">
        <v>22.05</v>
      </c>
      <c r="J13" s="379">
        <v>-4.78</v>
      </c>
      <c r="K13" s="379">
        <v>124.27</v>
      </c>
      <c r="L13" s="379">
        <v>127.83</v>
      </c>
      <c r="M13" s="379">
        <v>114.25</v>
      </c>
      <c r="N13" s="379">
        <v>113.34</v>
      </c>
    </row>
    <row r="14" spans="1:14">
      <c r="A14" s="290" t="s">
        <v>105</v>
      </c>
      <c r="B14" s="379">
        <v>2254.56</v>
      </c>
      <c r="C14" s="379">
        <v>230.66</v>
      </c>
      <c r="D14" s="379">
        <v>280.77</v>
      </c>
      <c r="E14" s="379">
        <v>277.77999999999997</v>
      </c>
      <c r="F14" s="379">
        <v>2709.6</v>
      </c>
      <c r="G14" s="379">
        <v>-20.02</v>
      </c>
      <c r="H14" s="379">
        <v>48.89</v>
      </c>
      <c r="I14" s="379">
        <v>20.43</v>
      </c>
      <c r="J14" s="379">
        <v>49.62</v>
      </c>
      <c r="K14" s="379">
        <v>0.79</v>
      </c>
      <c r="L14" s="379">
        <v>1.08</v>
      </c>
      <c r="M14" s="379">
        <v>1.02</v>
      </c>
      <c r="N14" s="379">
        <v>1.08</v>
      </c>
    </row>
    <row r="15" spans="1:14">
      <c r="A15" s="290" t="s">
        <v>47</v>
      </c>
      <c r="B15" s="379">
        <v>1576853.31</v>
      </c>
      <c r="C15" s="379">
        <v>164100.98000000001</v>
      </c>
      <c r="D15" s="379">
        <v>142664.93</v>
      </c>
      <c r="E15" s="379">
        <v>133114.12</v>
      </c>
      <c r="F15" s="379">
        <v>1529620.01</v>
      </c>
      <c r="G15" s="379">
        <v>-5.12</v>
      </c>
      <c r="H15" s="379">
        <v>3.69</v>
      </c>
      <c r="I15" s="379">
        <v>-18.88</v>
      </c>
      <c r="J15" s="379">
        <v>19.489999999999998</v>
      </c>
      <c r="K15" s="379">
        <v>553.14</v>
      </c>
      <c r="L15" s="379">
        <v>548.16</v>
      </c>
      <c r="M15" s="379">
        <v>487.77</v>
      </c>
      <c r="N15" s="379">
        <v>611.02</v>
      </c>
    </row>
    <row r="16" spans="1:14">
      <c r="A16" s="290" t="s">
        <v>106</v>
      </c>
      <c r="B16" s="379">
        <v>2045.85</v>
      </c>
      <c r="C16" s="379">
        <v>211.29</v>
      </c>
      <c r="D16" s="379">
        <v>250.74</v>
      </c>
      <c r="E16" s="379">
        <v>248.73</v>
      </c>
      <c r="F16" s="379">
        <v>2488.31</v>
      </c>
      <c r="G16" s="379">
        <v>-20.54</v>
      </c>
      <c r="H16" s="379">
        <v>45.67</v>
      </c>
      <c r="I16" s="379">
        <v>17.72</v>
      </c>
      <c r="J16" s="379">
        <v>52.16</v>
      </c>
      <c r="K16" s="379">
        <v>0.72</v>
      </c>
      <c r="L16" s="379">
        <v>0.96</v>
      </c>
      <c r="M16" s="379">
        <v>0.91</v>
      </c>
      <c r="N16" s="379">
        <v>0.99</v>
      </c>
    </row>
    <row r="17" spans="1:14">
      <c r="A17" s="290" t="s">
        <v>47</v>
      </c>
      <c r="B17" s="379">
        <v>1433470.24</v>
      </c>
      <c r="C17" s="379">
        <v>150912.01999999999</v>
      </c>
      <c r="D17" s="379">
        <v>128549.77</v>
      </c>
      <c r="E17" s="379">
        <v>120266.46</v>
      </c>
      <c r="F17" s="379">
        <v>1411645.23</v>
      </c>
      <c r="G17" s="379">
        <v>-5.56</v>
      </c>
      <c r="H17" s="379">
        <v>1.98</v>
      </c>
      <c r="I17" s="379">
        <v>-20.309999999999999</v>
      </c>
      <c r="J17" s="379">
        <v>21.88</v>
      </c>
      <c r="K17" s="379">
        <v>502.84</v>
      </c>
      <c r="L17" s="379">
        <v>493.93</v>
      </c>
      <c r="M17" s="379">
        <v>440.7</v>
      </c>
      <c r="N17" s="379">
        <v>563.9</v>
      </c>
    </row>
    <row r="18" spans="1:14">
      <c r="A18" s="290" t="s">
        <v>107</v>
      </c>
      <c r="B18" s="379">
        <v>208.71</v>
      </c>
      <c r="C18" s="379">
        <v>19.37</v>
      </c>
      <c r="D18" s="379">
        <v>30.02</v>
      </c>
      <c r="E18" s="379">
        <v>29.06</v>
      </c>
      <c r="F18" s="379">
        <v>221.28</v>
      </c>
      <c r="G18" s="379">
        <v>-14.54</v>
      </c>
      <c r="H18" s="379">
        <v>82.6</v>
      </c>
      <c r="I18" s="379">
        <v>50.03</v>
      </c>
      <c r="J18" s="379">
        <v>25.91</v>
      </c>
      <c r="K18" s="379">
        <v>7.0000000000000007E-2</v>
      </c>
      <c r="L18" s="379">
        <v>0.12</v>
      </c>
      <c r="M18" s="379">
        <v>0.11</v>
      </c>
      <c r="N18" s="379">
        <v>0.09</v>
      </c>
    </row>
    <row r="19" spans="1:14">
      <c r="A19" s="290" t="s">
        <v>47</v>
      </c>
      <c r="B19" s="379">
        <v>143383.06</v>
      </c>
      <c r="C19" s="379">
        <v>13188.97</v>
      </c>
      <c r="D19" s="379">
        <v>14115.17</v>
      </c>
      <c r="E19" s="379">
        <v>12847.66</v>
      </c>
      <c r="F19" s="379">
        <v>117974.78</v>
      </c>
      <c r="G19" s="379">
        <v>-0.45</v>
      </c>
      <c r="H19" s="379">
        <v>22.47</v>
      </c>
      <c r="I19" s="379">
        <v>-2.59</v>
      </c>
      <c r="J19" s="379">
        <v>-3.25</v>
      </c>
      <c r="K19" s="379">
        <v>50.3</v>
      </c>
      <c r="L19" s="379">
        <v>54.23</v>
      </c>
      <c r="M19" s="379">
        <v>47.08</v>
      </c>
      <c r="N19" s="379">
        <v>47.13</v>
      </c>
    </row>
    <row r="20" spans="1:14">
      <c r="A20" s="290" t="s">
        <v>108</v>
      </c>
      <c r="B20" s="379">
        <v>805.74</v>
      </c>
      <c r="C20" s="379">
        <v>71.23</v>
      </c>
      <c r="D20" s="379">
        <v>70.03</v>
      </c>
      <c r="E20" s="379">
        <v>83.69</v>
      </c>
      <c r="F20" s="379">
        <v>754.92</v>
      </c>
      <c r="G20" s="379">
        <v>-41.81</v>
      </c>
      <c r="H20" s="379">
        <v>16.27</v>
      </c>
      <c r="I20" s="379">
        <v>17.489999999999998</v>
      </c>
      <c r="J20" s="379">
        <v>11.31</v>
      </c>
      <c r="K20" s="379">
        <v>0.28000000000000003</v>
      </c>
      <c r="L20" s="379">
        <v>0.27</v>
      </c>
      <c r="M20" s="379">
        <v>0.31</v>
      </c>
      <c r="N20" s="379">
        <v>0.3</v>
      </c>
    </row>
    <row r="21" spans="1:14">
      <c r="A21" s="290" t="s">
        <v>47</v>
      </c>
      <c r="B21" s="379">
        <v>773156.68</v>
      </c>
      <c r="C21" s="379">
        <v>69937.119999999995</v>
      </c>
      <c r="D21" s="379">
        <v>49906.43</v>
      </c>
      <c r="E21" s="379">
        <v>53746.06</v>
      </c>
      <c r="F21" s="379">
        <v>558675.09</v>
      </c>
      <c r="G21" s="379">
        <v>-30</v>
      </c>
      <c r="H21" s="379">
        <v>-18.34</v>
      </c>
      <c r="I21" s="379">
        <v>-23.15</v>
      </c>
      <c r="J21" s="379">
        <v>-14.79</v>
      </c>
      <c r="K21" s="379">
        <v>271.20999999999998</v>
      </c>
      <c r="L21" s="379">
        <v>191.76</v>
      </c>
      <c r="M21" s="379">
        <v>196.94</v>
      </c>
      <c r="N21" s="379">
        <v>223.17</v>
      </c>
    </row>
    <row r="22" spans="1:14">
      <c r="A22" s="290" t="s">
        <v>109</v>
      </c>
      <c r="B22" s="379">
        <v>21.92</v>
      </c>
      <c r="C22" s="379">
        <v>2.39</v>
      </c>
      <c r="D22" s="379">
        <v>3.35</v>
      </c>
      <c r="E22" s="379">
        <v>9.0500000000000007</v>
      </c>
      <c r="F22" s="379">
        <v>28.11</v>
      </c>
      <c r="G22" s="379">
        <v>-69.66</v>
      </c>
      <c r="H22" s="379">
        <v>106.79</v>
      </c>
      <c r="I22" s="379">
        <v>278.66000000000003</v>
      </c>
      <c r="J22" s="379">
        <v>56.25</v>
      </c>
      <c r="K22" s="379">
        <v>0.01</v>
      </c>
      <c r="L22" s="379">
        <v>0.01</v>
      </c>
      <c r="M22" s="379">
        <v>0.03</v>
      </c>
      <c r="N22" s="379">
        <v>0.01</v>
      </c>
    </row>
    <row r="23" spans="1:14">
      <c r="A23" s="290" t="s">
        <v>47</v>
      </c>
      <c r="B23" s="379">
        <v>19378.5</v>
      </c>
      <c r="C23" s="379">
        <v>2020.72</v>
      </c>
      <c r="D23" s="379">
        <v>2194.14</v>
      </c>
      <c r="E23" s="379">
        <v>6715.31</v>
      </c>
      <c r="F23" s="379">
        <v>20683.12</v>
      </c>
      <c r="G23" s="379">
        <v>-65.8</v>
      </c>
      <c r="H23" s="379">
        <v>35.049999999999997</v>
      </c>
      <c r="I23" s="379">
        <v>232.32</v>
      </c>
      <c r="J23" s="379">
        <v>28.34</v>
      </c>
      <c r="K23" s="379">
        <v>6.8</v>
      </c>
      <c r="L23" s="379">
        <v>8.43</v>
      </c>
      <c r="M23" s="379">
        <v>24.61</v>
      </c>
      <c r="N23" s="379">
        <v>8.26</v>
      </c>
    </row>
    <row r="24" spans="1:14">
      <c r="A24" s="290" t="s">
        <v>49</v>
      </c>
      <c r="B24" s="379">
        <v>3713.69</v>
      </c>
      <c r="C24" s="379">
        <v>331.37</v>
      </c>
      <c r="D24" s="379">
        <v>229.98</v>
      </c>
      <c r="E24" s="379">
        <v>230.14</v>
      </c>
      <c r="F24" s="379">
        <v>2701.85</v>
      </c>
      <c r="G24" s="379">
        <v>-16.149999999999999</v>
      </c>
      <c r="H24" s="379">
        <v>-26.69</v>
      </c>
      <c r="I24" s="379">
        <v>-30.55</v>
      </c>
      <c r="J24" s="379">
        <v>-17.3</v>
      </c>
      <c r="K24" s="379">
        <v>1.3</v>
      </c>
      <c r="L24" s="379">
        <v>0.88</v>
      </c>
      <c r="M24" s="379">
        <v>0.84</v>
      </c>
      <c r="N24" s="379">
        <v>1.08</v>
      </c>
    </row>
    <row r="25" spans="1:14">
      <c r="A25" s="290" t="s">
        <v>47</v>
      </c>
      <c r="B25" s="379">
        <v>8686749.2699999996</v>
      </c>
      <c r="C25" s="379">
        <v>644070.46</v>
      </c>
      <c r="D25" s="379">
        <v>454234.87</v>
      </c>
      <c r="E25" s="379">
        <v>468508.99</v>
      </c>
      <c r="F25" s="379">
        <v>5584817.8700000001</v>
      </c>
      <c r="G25" s="379">
        <v>-22.74</v>
      </c>
      <c r="H25" s="379">
        <v>-27.62</v>
      </c>
      <c r="I25" s="379">
        <v>-27.26</v>
      </c>
      <c r="J25" s="379">
        <v>-29.69</v>
      </c>
      <c r="K25" s="379">
        <v>3047.19</v>
      </c>
      <c r="L25" s="379">
        <v>1745.3</v>
      </c>
      <c r="M25" s="379">
        <v>1716.77</v>
      </c>
      <c r="N25" s="379">
        <v>2230.92</v>
      </c>
    </row>
    <row r="26" spans="1:14">
      <c r="A26" s="290" t="s">
        <v>110</v>
      </c>
      <c r="B26" s="379">
        <v>1182.6500000000001</v>
      </c>
      <c r="C26" s="379">
        <v>49.31</v>
      </c>
      <c r="D26" s="379">
        <v>27.87</v>
      </c>
      <c r="E26" s="379">
        <v>23.09</v>
      </c>
      <c r="F26" s="379">
        <v>457.54</v>
      </c>
      <c r="G26" s="379">
        <v>-23.21</v>
      </c>
      <c r="H26" s="379">
        <v>-54.27</v>
      </c>
      <c r="I26" s="379">
        <v>-53.17</v>
      </c>
      <c r="J26" s="379">
        <v>-60.45</v>
      </c>
      <c r="K26" s="379">
        <v>0.41</v>
      </c>
      <c r="L26" s="379">
        <v>0.11</v>
      </c>
      <c r="M26" s="379">
        <v>0.08</v>
      </c>
      <c r="N26" s="379">
        <v>0.18</v>
      </c>
    </row>
    <row r="27" spans="1:14">
      <c r="A27" s="290" t="s">
        <v>47</v>
      </c>
      <c r="B27" s="379">
        <v>4555232.83</v>
      </c>
      <c r="C27" s="379">
        <v>186944.13</v>
      </c>
      <c r="D27" s="379">
        <v>118197.49</v>
      </c>
      <c r="E27" s="379">
        <v>99123.06</v>
      </c>
      <c r="F27" s="379">
        <v>1912893.66</v>
      </c>
      <c r="G27" s="379">
        <v>-23.94</v>
      </c>
      <c r="H27" s="379">
        <v>-47.71</v>
      </c>
      <c r="I27" s="379">
        <v>-46.98</v>
      </c>
      <c r="J27" s="379">
        <v>-57.12</v>
      </c>
      <c r="K27" s="379">
        <v>1597.91</v>
      </c>
      <c r="L27" s="379">
        <v>454.15</v>
      </c>
      <c r="M27" s="379">
        <v>363.22</v>
      </c>
      <c r="N27" s="379">
        <v>764.13</v>
      </c>
    </row>
    <row r="28" spans="1:14">
      <c r="A28" s="290" t="s">
        <v>111</v>
      </c>
      <c r="B28" s="379">
        <v>1520.27</v>
      </c>
      <c r="C28" s="379">
        <v>196.79</v>
      </c>
      <c r="D28" s="379">
        <v>119.57</v>
      </c>
      <c r="E28" s="379">
        <v>114.29</v>
      </c>
      <c r="F28" s="379">
        <v>1400.92</v>
      </c>
      <c r="G28" s="379">
        <v>-17.23</v>
      </c>
      <c r="H28" s="379">
        <v>-30.31</v>
      </c>
      <c r="I28" s="379">
        <v>-41.92</v>
      </c>
      <c r="J28" s="379">
        <v>11.15</v>
      </c>
      <c r="K28" s="379">
        <v>0.53</v>
      </c>
      <c r="L28" s="379">
        <v>0.46</v>
      </c>
      <c r="M28" s="379">
        <v>0.42</v>
      </c>
      <c r="N28" s="379">
        <v>0.56000000000000005</v>
      </c>
    </row>
    <row r="29" spans="1:14">
      <c r="A29" s="290" t="s">
        <v>47</v>
      </c>
      <c r="B29" s="379">
        <v>2870228.17</v>
      </c>
      <c r="C29" s="379">
        <v>358187.53</v>
      </c>
      <c r="D29" s="379">
        <v>240762.1</v>
      </c>
      <c r="E29" s="379">
        <v>233996.11</v>
      </c>
      <c r="F29" s="379">
        <v>2654707.0299999998</v>
      </c>
      <c r="G29" s="379">
        <v>-23.66</v>
      </c>
      <c r="H29" s="379">
        <v>-23.07</v>
      </c>
      <c r="I29" s="379">
        <v>-34.67</v>
      </c>
      <c r="J29" s="379">
        <v>10.57</v>
      </c>
      <c r="K29" s="379">
        <v>1006.84</v>
      </c>
      <c r="L29" s="379">
        <v>925.08</v>
      </c>
      <c r="M29" s="379">
        <v>857.44</v>
      </c>
      <c r="N29" s="379">
        <v>1060.45</v>
      </c>
    </row>
    <row r="30" spans="1:14">
      <c r="A30" s="290" t="s">
        <v>50</v>
      </c>
      <c r="B30" s="379">
        <v>27590.61</v>
      </c>
      <c r="C30" s="379">
        <v>2127.2199999999998</v>
      </c>
      <c r="D30" s="379">
        <v>2419.85</v>
      </c>
      <c r="E30" s="379">
        <v>2281.3200000000002</v>
      </c>
      <c r="F30" s="379">
        <v>24331.74</v>
      </c>
      <c r="G30" s="379">
        <v>1.07</v>
      </c>
      <c r="H30" s="379">
        <v>-0.05</v>
      </c>
      <c r="I30" s="379">
        <v>7.24</v>
      </c>
      <c r="J30" s="379">
        <v>2.57</v>
      </c>
      <c r="K30" s="379">
        <v>9.68</v>
      </c>
      <c r="L30" s="379">
        <v>9.3000000000000007</v>
      </c>
      <c r="M30" s="379">
        <v>8.36</v>
      </c>
      <c r="N30" s="379">
        <v>9.7200000000000006</v>
      </c>
    </row>
    <row r="31" spans="1:14">
      <c r="A31" s="290" t="s">
        <v>51</v>
      </c>
      <c r="B31" s="379">
        <v>5002.84</v>
      </c>
      <c r="C31" s="379">
        <v>427.95</v>
      </c>
      <c r="D31" s="379">
        <v>482.7</v>
      </c>
      <c r="E31" s="379">
        <v>504.67</v>
      </c>
      <c r="F31" s="379">
        <v>4460.5200000000004</v>
      </c>
      <c r="G31" s="379">
        <v>-9.2200000000000006</v>
      </c>
      <c r="H31" s="379">
        <v>11.48</v>
      </c>
      <c r="I31" s="379">
        <v>17.93</v>
      </c>
      <c r="J31" s="379">
        <v>7.61</v>
      </c>
      <c r="K31" s="379">
        <v>1.75</v>
      </c>
      <c r="L31" s="379">
        <v>1.85</v>
      </c>
      <c r="M31" s="379">
        <v>1.85</v>
      </c>
      <c r="N31" s="379">
        <v>1.78</v>
      </c>
    </row>
    <row r="32" spans="1:14">
      <c r="A32" s="290" t="s">
        <v>112</v>
      </c>
      <c r="B32" s="379">
        <v>4001.66</v>
      </c>
      <c r="C32" s="379">
        <v>334.98</v>
      </c>
      <c r="D32" s="379">
        <v>391.61</v>
      </c>
      <c r="E32" s="379">
        <v>410.87</v>
      </c>
      <c r="F32" s="379">
        <v>3704.33</v>
      </c>
      <c r="G32" s="379">
        <v>-9.3000000000000007</v>
      </c>
      <c r="H32" s="379">
        <v>16.559999999999999</v>
      </c>
      <c r="I32" s="379">
        <v>22.66</v>
      </c>
      <c r="J32" s="379">
        <v>12.25</v>
      </c>
      <c r="K32" s="379">
        <v>1.4</v>
      </c>
      <c r="L32" s="379">
        <v>1.5</v>
      </c>
      <c r="M32" s="379">
        <v>1.51</v>
      </c>
      <c r="N32" s="379">
        <v>1.48</v>
      </c>
    </row>
    <row r="33" spans="1:14">
      <c r="A33" s="290" t="s">
        <v>52</v>
      </c>
      <c r="B33" s="379">
        <v>1924.25</v>
      </c>
      <c r="C33" s="379">
        <v>158.87</v>
      </c>
      <c r="D33" s="379">
        <v>213.2</v>
      </c>
      <c r="E33" s="379">
        <v>217.66</v>
      </c>
      <c r="F33" s="379">
        <v>1948.94</v>
      </c>
      <c r="G33" s="379">
        <v>-9.1300000000000008</v>
      </c>
      <c r="H33" s="379">
        <v>32.08</v>
      </c>
      <c r="I33" s="379">
        <v>37.01</v>
      </c>
      <c r="J33" s="379">
        <v>24.57</v>
      </c>
      <c r="K33" s="379">
        <v>0.67</v>
      </c>
      <c r="L33" s="379">
        <v>0.82</v>
      </c>
      <c r="M33" s="379">
        <v>0.8</v>
      </c>
      <c r="N33" s="379">
        <v>0.78</v>
      </c>
    </row>
    <row r="34" spans="1:14">
      <c r="A34" s="290" t="s">
        <v>47</v>
      </c>
      <c r="B34" s="379">
        <v>415702.92</v>
      </c>
      <c r="C34" s="379">
        <v>33952.720000000001</v>
      </c>
      <c r="D34" s="379">
        <v>50532.83</v>
      </c>
      <c r="E34" s="379">
        <v>51974.63</v>
      </c>
      <c r="F34" s="379">
        <v>454699.38</v>
      </c>
      <c r="G34" s="379">
        <v>-14.15</v>
      </c>
      <c r="H34" s="379">
        <v>48.41</v>
      </c>
      <c r="I34" s="379">
        <v>53.08</v>
      </c>
      <c r="J34" s="379">
        <v>35.24</v>
      </c>
      <c r="K34" s="379">
        <v>145.82</v>
      </c>
      <c r="L34" s="379">
        <v>194.16</v>
      </c>
      <c r="M34" s="379">
        <v>190.45</v>
      </c>
      <c r="N34" s="379">
        <v>181.63</v>
      </c>
    </row>
    <row r="35" spans="1:14">
      <c r="A35" s="290" t="s">
        <v>53</v>
      </c>
      <c r="B35" s="379">
        <v>1001.18</v>
      </c>
      <c r="C35" s="379">
        <v>92.97</v>
      </c>
      <c r="D35" s="379">
        <v>91.1</v>
      </c>
      <c r="E35" s="379">
        <v>93.8</v>
      </c>
      <c r="F35" s="379">
        <v>756.19</v>
      </c>
      <c r="G35" s="379">
        <v>-8.8699999999999992</v>
      </c>
      <c r="H35" s="379">
        <v>-6.1</v>
      </c>
      <c r="I35" s="379">
        <v>0.89</v>
      </c>
      <c r="J35" s="379">
        <v>-10.49</v>
      </c>
      <c r="K35" s="379">
        <v>0.35</v>
      </c>
      <c r="L35" s="379">
        <v>0.35</v>
      </c>
      <c r="M35" s="379">
        <v>0.34</v>
      </c>
      <c r="N35" s="379">
        <v>0.3</v>
      </c>
    </row>
    <row r="36" spans="1:14">
      <c r="A36" s="290" t="s">
        <v>47</v>
      </c>
      <c r="B36" s="379">
        <v>113445.29</v>
      </c>
      <c r="C36" s="379">
        <v>10627.54</v>
      </c>
      <c r="D36" s="379">
        <v>10385.06</v>
      </c>
      <c r="E36" s="379">
        <v>10470.01</v>
      </c>
      <c r="F36" s="379">
        <v>92548.13</v>
      </c>
      <c r="G36" s="379">
        <v>-3.38</v>
      </c>
      <c r="H36" s="379">
        <v>-7.44</v>
      </c>
      <c r="I36" s="379">
        <v>-1.48</v>
      </c>
      <c r="J36" s="379">
        <v>-2.15</v>
      </c>
      <c r="K36" s="379">
        <v>39.79</v>
      </c>
      <c r="L36" s="379">
        <v>39.9</v>
      </c>
      <c r="M36" s="379">
        <v>38.369999999999997</v>
      </c>
      <c r="N36" s="379">
        <v>36.97</v>
      </c>
    </row>
    <row r="37" spans="1:14">
      <c r="A37" s="290" t="s">
        <v>54</v>
      </c>
      <c r="B37" s="379">
        <v>9580.09</v>
      </c>
      <c r="C37" s="379">
        <v>525.22</v>
      </c>
      <c r="D37" s="379">
        <v>721.33</v>
      </c>
      <c r="E37" s="379">
        <v>563.36</v>
      </c>
      <c r="F37" s="379">
        <v>8278.36</v>
      </c>
      <c r="G37" s="379">
        <v>14.39</v>
      </c>
      <c r="H37" s="379">
        <v>-13.85</v>
      </c>
      <c r="I37" s="379">
        <v>7.26</v>
      </c>
      <c r="J37" s="379">
        <v>-3.8</v>
      </c>
      <c r="K37" s="379">
        <v>3.36</v>
      </c>
      <c r="L37" s="379">
        <v>2.77</v>
      </c>
      <c r="M37" s="379">
        <v>2.06</v>
      </c>
      <c r="N37" s="379">
        <v>3.31</v>
      </c>
    </row>
    <row r="38" spans="1:14">
      <c r="A38" s="290" t="s">
        <v>47</v>
      </c>
      <c r="B38" s="379">
        <v>4652738.58</v>
      </c>
      <c r="C38" s="379">
        <v>312259.63</v>
      </c>
      <c r="D38" s="379">
        <v>360378.02</v>
      </c>
      <c r="E38" s="379">
        <v>337451.62</v>
      </c>
      <c r="F38" s="379">
        <v>3824961.21</v>
      </c>
      <c r="G38" s="379">
        <v>2.48</v>
      </c>
      <c r="H38" s="379">
        <v>-12.64</v>
      </c>
      <c r="I38" s="379">
        <v>8.07</v>
      </c>
      <c r="J38" s="379">
        <v>-5.31</v>
      </c>
      <c r="K38" s="379">
        <v>1632.11</v>
      </c>
      <c r="L38" s="379">
        <v>1384.68</v>
      </c>
      <c r="M38" s="379">
        <v>1236.53</v>
      </c>
      <c r="N38" s="379">
        <v>1527.92</v>
      </c>
    </row>
    <row r="39" spans="1:14">
      <c r="A39" s="290" t="s">
        <v>55</v>
      </c>
      <c r="B39" s="379">
        <v>4082.35</v>
      </c>
      <c r="C39" s="379">
        <v>362.16</v>
      </c>
      <c r="D39" s="379">
        <v>364.77</v>
      </c>
      <c r="E39" s="379">
        <v>407.2</v>
      </c>
      <c r="F39" s="379">
        <v>3592.74</v>
      </c>
      <c r="G39" s="379">
        <v>0.18</v>
      </c>
      <c r="H39" s="379">
        <v>-0.41</v>
      </c>
      <c r="I39" s="379">
        <v>12.44</v>
      </c>
      <c r="J39" s="379">
        <v>4.9000000000000004</v>
      </c>
      <c r="K39" s="379">
        <v>1.43</v>
      </c>
      <c r="L39" s="379">
        <v>1.4</v>
      </c>
      <c r="M39" s="379">
        <v>1.49</v>
      </c>
      <c r="N39" s="379">
        <v>1.44</v>
      </c>
    </row>
    <row r="40" spans="1:14">
      <c r="A40" s="290" t="s">
        <v>47</v>
      </c>
      <c r="B40" s="379">
        <v>1083093.74</v>
      </c>
      <c r="C40" s="379">
        <v>94261.46</v>
      </c>
      <c r="D40" s="379">
        <v>95444.39</v>
      </c>
      <c r="E40" s="379">
        <v>105267.79</v>
      </c>
      <c r="F40" s="379">
        <v>961362.36</v>
      </c>
      <c r="G40" s="379">
        <v>7.08</v>
      </c>
      <c r="H40" s="379">
        <v>0</v>
      </c>
      <c r="I40" s="379">
        <v>11.68</v>
      </c>
      <c r="J40" s="379">
        <v>6.11</v>
      </c>
      <c r="K40" s="379">
        <v>379.93</v>
      </c>
      <c r="L40" s="379">
        <v>366.73</v>
      </c>
      <c r="M40" s="379">
        <v>385.74</v>
      </c>
      <c r="N40" s="379">
        <v>384.03</v>
      </c>
    </row>
    <row r="41" spans="1:14">
      <c r="A41" s="290" t="s">
        <v>56</v>
      </c>
      <c r="B41" s="379">
        <v>8.59</v>
      </c>
      <c r="C41" s="379">
        <v>0.75</v>
      </c>
      <c r="D41" s="379">
        <v>1.07</v>
      </c>
      <c r="E41" s="379">
        <v>1.31</v>
      </c>
      <c r="F41" s="379">
        <v>7.24</v>
      </c>
      <c r="G41" s="379">
        <v>41.75</v>
      </c>
      <c r="H41" s="379">
        <v>78.33</v>
      </c>
      <c r="I41" s="379">
        <v>74.67</v>
      </c>
      <c r="J41" s="379">
        <v>6.31</v>
      </c>
      <c r="K41" s="379">
        <v>0</v>
      </c>
      <c r="L41" s="379">
        <v>0</v>
      </c>
      <c r="M41" s="379">
        <v>0</v>
      </c>
      <c r="N41" s="379">
        <v>0</v>
      </c>
    </row>
    <row r="42" spans="1:14">
      <c r="A42" s="290" t="s">
        <v>47</v>
      </c>
      <c r="B42" s="379">
        <v>2628.04</v>
      </c>
      <c r="C42" s="379">
        <v>242.37</v>
      </c>
      <c r="D42" s="379">
        <v>401.29</v>
      </c>
      <c r="E42" s="379">
        <v>442.77</v>
      </c>
      <c r="F42" s="379">
        <v>2672.36</v>
      </c>
      <c r="G42" s="379">
        <v>65.59</v>
      </c>
      <c r="H42" s="379">
        <v>87.78</v>
      </c>
      <c r="I42" s="379">
        <v>82.68</v>
      </c>
      <c r="J42" s="379">
        <v>39.14</v>
      </c>
      <c r="K42" s="379">
        <v>0.92</v>
      </c>
      <c r="L42" s="379">
        <v>1.54</v>
      </c>
      <c r="M42" s="379">
        <v>1.62</v>
      </c>
      <c r="N42" s="379">
        <v>1.07</v>
      </c>
    </row>
    <row r="43" spans="1:14">
      <c r="A43" s="290" t="s">
        <v>113</v>
      </c>
      <c r="B43" s="379">
        <v>31.03</v>
      </c>
      <c r="C43" s="379">
        <v>3.13</v>
      </c>
      <c r="D43" s="379">
        <v>3.37</v>
      </c>
      <c r="E43" s="379">
        <v>1.94</v>
      </c>
      <c r="F43" s="379">
        <v>25.06</v>
      </c>
      <c r="G43" s="379">
        <v>13.66</v>
      </c>
      <c r="H43" s="379">
        <v>34.26</v>
      </c>
      <c r="I43" s="379">
        <v>-38.020000000000003</v>
      </c>
      <c r="J43" s="379">
        <v>2.54</v>
      </c>
      <c r="K43" s="379">
        <v>0.01</v>
      </c>
      <c r="L43" s="379">
        <v>0.01</v>
      </c>
      <c r="M43" s="379">
        <v>0.01</v>
      </c>
      <c r="N43" s="379">
        <v>0.01</v>
      </c>
    </row>
    <row r="44" spans="1:14">
      <c r="A44" s="290" t="s">
        <v>47</v>
      </c>
      <c r="B44" s="379">
        <v>7255.55</v>
      </c>
      <c r="C44" s="379">
        <v>686.79</v>
      </c>
      <c r="D44" s="379">
        <v>795.21</v>
      </c>
      <c r="E44" s="379">
        <v>475.8</v>
      </c>
      <c r="F44" s="379">
        <v>6445.71</v>
      </c>
      <c r="G44" s="379">
        <v>-7.32</v>
      </c>
      <c r="H44" s="379">
        <v>42.87</v>
      </c>
      <c r="I44" s="379">
        <v>-30.72</v>
      </c>
      <c r="J44" s="379">
        <v>12.37</v>
      </c>
      <c r="K44" s="379">
        <v>2.5499999999999998</v>
      </c>
      <c r="L44" s="379">
        <v>3.06</v>
      </c>
      <c r="M44" s="379">
        <v>1.74</v>
      </c>
      <c r="N44" s="379">
        <v>2.57</v>
      </c>
    </row>
    <row r="45" spans="1:14">
      <c r="A45" s="290" t="s">
        <v>114</v>
      </c>
      <c r="B45" s="379">
        <v>8885.7000000000007</v>
      </c>
      <c r="C45" s="379">
        <v>808</v>
      </c>
      <c r="D45" s="379">
        <v>846.6</v>
      </c>
      <c r="E45" s="379">
        <v>802.85</v>
      </c>
      <c r="F45" s="379">
        <v>7967.82</v>
      </c>
      <c r="G45" s="379">
        <v>-4.5</v>
      </c>
      <c r="H45" s="379">
        <v>8.35</v>
      </c>
      <c r="I45" s="379">
        <v>-0.64</v>
      </c>
      <c r="J45" s="379">
        <v>6.02</v>
      </c>
      <c r="K45" s="379">
        <v>3.12</v>
      </c>
      <c r="L45" s="379">
        <v>3.25</v>
      </c>
      <c r="M45" s="379">
        <v>2.94</v>
      </c>
      <c r="N45" s="379">
        <v>3.18</v>
      </c>
    </row>
    <row r="46" spans="1:14">
      <c r="A46" s="290" t="s">
        <v>47</v>
      </c>
      <c r="B46" s="379">
        <v>3691774.66</v>
      </c>
      <c r="C46" s="379">
        <v>392464.22</v>
      </c>
      <c r="D46" s="379">
        <v>372045.07</v>
      </c>
      <c r="E46" s="379">
        <v>300879.65000000002</v>
      </c>
      <c r="F46" s="379">
        <v>3376948.63</v>
      </c>
      <c r="G46" s="379">
        <v>2.14</v>
      </c>
      <c r="H46" s="379">
        <v>8.11</v>
      </c>
      <c r="I46" s="379">
        <v>-23.34</v>
      </c>
      <c r="J46" s="379">
        <v>5.53</v>
      </c>
      <c r="K46" s="379">
        <v>1295.02</v>
      </c>
      <c r="L46" s="379">
        <v>1429.51</v>
      </c>
      <c r="M46" s="379">
        <v>1102.52</v>
      </c>
      <c r="N46" s="379">
        <v>1348.96</v>
      </c>
    </row>
    <row r="47" spans="1:14">
      <c r="A47" s="290" t="s">
        <v>57</v>
      </c>
      <c r="B47" s="379">
        <v>2464.48</v>
      </c>
      <c r="C47" s="379">
        <v>220</v>
      </c>
      <c r="D47" s="379">
        <v>261.94</v>
      </c>
      <c r="E47" s="379">
        <v>260.08999999999997</v>
      </c>
      <c r="F47" s="379">
        <v>2519.86</v>
      </c>
      <c r="G47" s="379">
        <v>-13.43</v>
      </c>
      <c r="H47" s="379">
        <v>21.5</v>
      </c>
      <c r="I47" s="379">
        <v>18.22</v>
      </c>
      <c r="J47" s="379">
        <v>24.94</v>
      </c>
      <c r="K47" s="379">
        <v>0.86</v>
      </c>
      <c r="L47" s="379">
        <v>1.01</v>
      </c>
      <c r="M47" s="379">
        <v>0.95</v>
      </c>
      <c r="N47" s="379">
        <v>1.01</v>
      </c>
    </row>
    <row r="48" spans="1:14">
      <c r="A48" s="290" t="s">
        <v>47</v>
      </c>
      <c r="B48" s="379">
        <v>1036931.7</v>
      </c>
      <c r="C48" s="379">
        <v>84081.9</v>
      </c>
      <c r="D48" s="379">
        <v>89636.53</v>
      </c>
      <c r="E48" s="379">
        <v>88075.05</v>
      </c>
      <c r="F48" s="379">
        <v>896949.64</v>
      </c>
      <c r="G48" s="379">
        <v>-10.66</v>
      </c>
      <c r="H48" s="379">
        <v>7.9</v>
      </c>
      <c r="I48" s="379">
        <v>4.75</v>
      </c>
      <c r="J48" s="379">
        <v>2.95</v>
      </c>
      <c r="K48" s="379">
        <v>363.74</v>
      </c>
      <c r="L48" s="379">
        <v>344.41</v>
      </c>
      <c r="M48" s="379">
        <v>322.74</v>
      </c>
      <c r="N48" s="379">
        <v>358.3</v>
      </c>
    </row>
    <row r="49" spans="1:14">
      <c r="A49" s="290" t="s">
        <v>58</v>
      </c>
      <c r="B49" s="379">
        <v>2092.38</v>
      </c>
      <c r="C49" s="379">
        <v>196.23</v>
      </c>
      <c r="D49" s="379">
        <v>234.3</v>
      </c>
      <c r="E49" s="379">
        <v>230.75</v>
      </c>
      <c r="F49" s="379">
        <v>2234.65</v>
      </c>
      <c r="G49" s="379">
        <v>-14.97</v>
      </c>
      <c r="H49" s="379">
        <v>25.47</v>
      </c>
      <c r="I49" s="379">
        <v>17.59</v>
      </c>
      <c r="J49" s="379">
        <v>31.33</v>
      </c>
      <c r="K49" s="379">
        <v>0.73</v>
      </c>
      <c r="L49" s="379">
        <v>0.9</v>
      </c>
      <c r="M49" s="379">
        <v>0.85</v>
      </c>
      <c r="N49" s="379">
        <v>0.89</v>
      </c>
    </row>
    <row r="50" spans="1:14">
      <c r="A50" s="290" t="s">
        <v>47</v>
      </c>
      <c r="B50" s="379">
        <v>698425.6</v>
      </c>
      <c r="C50" s="379">
        <v>62084.44</v>
      </c>
      <c r="D50" s="379">
        <v>71620.67</v>
      </c>
      <c r="E50" s="379">
        <v>68366.19</v>
      </c>
      <c r="F50" s="379">
        <v>694122.28</v>
      </c>
      <c r="G50" s="379">
        <v>-14.65</v>
      </c>
      <c r="H50" s="379">
        <v>22.89</v>
      </c>
      <c r="I50" s="379">
        <v>10.119999999999999</v>
      </c>
      <c r="J50" s="379">
        <v>20.260000000000002</v>
      </c>
      <c r="K50" s="379">
        <v>245</v>
      </c>
      <c r="L50" s="379">
        <v>275.19</v>
      </c>
      <c r="M50" s="379">
        <v>250.52</v>
      </c>
      <c r="N50" s="379">
        <v>277.27</v>
      </c>
    </row>
    <row r="51" spans="1:14">
      <c r="A51" s="290" t="s">
        <v>115</v>
      </c>
      <c r="B51" s="379">
        <v>372.11</v>
      </c>
      <c r="C51" s="379">
        <v>23.77</v>
      </c>
      <c r="D51" s="379">
        <v>27.64</v>
      </c>
      <c r="E51" s="379">
        <v>29.34</v>
      </c>
      <c r="F51" s="379">
        <v>285.2</v>
      </c>
      <c r="G51" s="379">
        <v>-3.62</v>
      </c>
      <c r="H51" s="379">
        <v>-4.13</v>
      </c>
      <c r="I51" s="379">
        <v>23.43</v>
      </c>
      <c r="J51" s="379">
        <v>-9.5500000000000007</v>
      </c>
      <c r="K51" s="379">
        <v>0.13</v>
      </c>
      <c r="L51" s="379">
        <v>0.11</v>
      </c>
      <c r="M51" s="379">
        <v>0.11</v>
      </c>
      <c r="N51" s="379">
        <v>0.11</v>
      </c>
    </row>
    <row r="52" spans="1:14">
      <c r="A52" s="290" t="s">
        <v>47</v>
      </c>
      <c r="B52" s="379">
        <v>338506.1</v>
      </c>
      <c r="C52" s="379">
        <v>21997.46</v>
      </c>
      <c r="D52" s="379">
        <v>18015.86</v>
      </c>
      <c r="E52" s="379">
        <v>19708.849999999999</v>
      </c>
      <c r="F52" s="379">
        <v>202827.35</v>
      </c>
      <c r="G52" s="379">
        <v>-1.1000000000000001</v>
      </c>
      <c r="H52" s="379">
        <v>-27.33</v>
      </c>
      <c r="I52" s="379">
        <v>-10.4</v>
      </c>
      <c r="J52" s="379">
        <v>-31.04</v>
      </c>
      <c r="K52" s="379">
        <v>118.74</v>
      </c>
      <c r="L52" s="379">
        <v>69.22</v>
      </c>
      <c r="M52" s="379">
        <v>72.22</v>
      </c>
      <c r="N52" s="379">
        <v>81.02</v>
      </c>
    </row>
    <row r="53" spans="1:14">
      <c r="A53" s="290" t="s">
        <v>59</v>
      </c>
      <c r="B53" s="379">
        <v>3493.56</v>
      </c>
      <c r="C53" s="379">
        <v>132.91999999999999</v>
      </c>
      <c r="D53" s="379">
        <v>148.71</v>
      </c>
      <c r="E53" s="379">
        <v>115.88</v>
      </c>
      <c r="F53" s="379">
        <v>2205.29</v>
      </c>
      <c r="G53" s="379">
        <v>11.29</v>
      </c>
      <c r="H53" s="379">
        <v>-10.38</v>
      </c>
      <c r="I53" s="379">
        <v>-12.82</v>
      </c>
      <c r="J53" s="379">
        <v>-31.09</v>
      </c>
      <c r="K53" s="379">
        <v>1.23</v>
      </c>
      <c r="L53" s="379">
        <v>0.56999999999999995</v>
      </c>
      <c r="M53" s="379">
        <v>0.42</v>
      </c>
      <c r="N53" s="379">
        <v>0.88</v>
      </c>
    </row>
    <row r="54" spans="1:14">
      <c r="A54" s="290" t="s">
        <v>47</v>
      </c>
      <c r="B54" s="379">
        <v>6607263.29</v>
      </c>
      <c r="C54" s="379">
        <v>214213.8</v>
      </c>
      <c r="D54" s="379">
        <v>259032.48</v>
      </c>
      <c r="E54" s="379">
        <v>194137.56</v>
      </c>
      <c r="F54" s="379">
        <v>3822764.74</v>
      </c>
      <c r="G54" s="379">
        <v>1.83</v>
      </c>
      <c r="H54" s="379">
        <v>-10.97</v>
      </c>
      <c r="I54" s="379">
        <v>-9.3699999999999992</v>
      </c>
      <c r="J54" s="379">
        <v>-37.92</v>
      </c>
      <c r="K54" s="379">
        <v>2317.73</v>
      </c>
      <c r="L54" s="379">
        <v>995.28</v>
      </c>
      <c r="M54" s="379">
        <v>711.38</v>
      </c>
      <c r="N54" s="379">
        <v>1527.05</v>
      </c>
    </row>
    <row r="55" spans="1:14">
      <c r="A55" s="290" t="s">
        <v>60</v>
      </c>
      <c r="B55" s="379">
        <v>224173.26</v>
      </c>
      <c r="C55" s="379">
        <v>18563.66</v>
      </c>
      <c r="D55" s="379">
        <v>20838.2</v>
      </c>
      <c r="E55" s="379">
        <v>22085.37</v>
      </c>
      <c r="F55" s="379">
        <v>196783.44</v>
      </c>
      <c r="G55" s="379">
        <v>-0.81</v>
      </c>
      <c r="H55" s="379">
        <v>2.02</v>
      </c>
      <c r="I55" s="379">
        <v>18.97</v>
      </c>
      <c r="J55" s="379">
        <v>5.1100000000000003</v>
      </c>
      <c r="K55" s="379">
        <v>78.64</v>
      </c>
      <c r="L55" s="379">
        <v>80.069999999999993</v>
      </c>
      <c r="M55" s="379">
        <v>80.930000000000007</v>
      </c>
      <c r="N55" s="379">
        <v>78.61</v>
      </c>
    </row>
    <row r="56" spans="1:14">
      <c r="A56" s="290" t="s">
        <v>61</v>
      </c>
      <c r="B56" s="379">
        <v>42278.55</v>
      </c>
      <c r="C56" s="379">
        <v>3512.75</v>
      </c>
      <c r="D56" s="379">
        <v>3105.17</v>
      </c>
      <c r="E56" s="379">
        <v>3057.77</v>
      </c>
      <c r="F56" s="379">
        <v>32666.06</v>
      </c>
      <c r="G56" s="379">
        <v>11.57</v>
      </c>
      <c r="H56" s="379">
        <v>-10.37</v>
      </c>
      <c r="I56" s="379">
        <v>-12.95</v>
      </c>
      <c r="J56" s="379">
        <v>-7.41</v>
      </c>
      <c r="K56" s="379">
        <v>14.83</v>
      </c>
      <c r="L56" s="379">
        <v>11.93</v>
      </c>
      <c r="M56" s="379">
        <v>11.2</v>
      </c>
      <c r="N56" s="379">
        <v>13.05</v>
      </c>
    </row>
    <row r="57" spans="1:14">
      <c r="A57" s="290" t="s">
        <v>62</v>
      </c>
      <c r="B57" s="379">
        <v>24956.04</v>
      </c>
      <c r="C57" s="379">
        <v>2190.11</v>
      </c>
      <c r="D57" s="379">
        <v>1748.94</v>
      </c>
      <c r="E57" s="379">
        <v>1675.81</v>
      </c>
      <c r="F57" s="379">
        <v>19228.259999999998</v>
      </c>
      <c r="G57" s="379">
        <v>15.89</v>
      </c>
      <c r="H57" s="379">
        <v>-14.21</v>
      </c>
      <c r="I57" s="379">
        <v>-23.48</v>
      </c>
      <c r="J57" s="379">
        <v>-7.71</v>
      </c>
      <c r="K57" s="379">
        <v>8.75</v>
      </c>
      <c r="L57" s="379">
        <v>6.72</v>
      </c>
      <c r="M57" s="379">
        <v>6.14</v>
      </c>
      <c r="N57" s="379">
        <v>7.68</v>
      </c>
    </row>
    <row r="58" spans="1:14">
      <c r="A58" s="290" t="s">
        <v>63</v>
      </c>
      <c r="B58" s="379">
        <v>12807.76</v>
      </c>
      <c r="C58" s="379">
        <v>1163.46</v>
      </c>
      <c r="D58" s="379">
        <v>971.73</v>
      </c>
      <c r="E58" s="379">
        <v>905.87</v>
      </c>
      <c r="F58" s="379">
        <v>10199.469999999999</v>
      </c>
      <c r="G58" s="379">
        <v>14.72</v>
      </c>
      <c r="H58" s="379">
        <v>-15.16</v>
      </c>
      <c r="I58" s="379">
        <v>-22.14</v>
      </c>
      <c r="J58" s="379">
        <v>-4.26</v>
      </c>
      <c r="K58" s="379">
        <v>4.49</v>
      </c>
      <c r="L58" s="379">
        <v>3.73</v>
      </c>
      <c r="M58" s="379">
        <v>3.32</v>
      </c>
      <c r="N58" s="379">
        <v>4.07</v>
      </c>
    </row>
    <row r="59" spans="1:14">
      <c r="A59" s="290" t="s">
        <v>64</v>
      </c>
      <c r="B59" s="379">
        <v>9325.76</v>
      </c>
      <c r="C59" s="379">
        <v>844.69</v>
      </c>
      <c r="D59" s="379">
        <v>626.58000000000004</v>
      </c>
      <c r="E59" s="379">
        <v>585.67999999999995</v>
      </c>
      <c r="F59" s="379">
        <v>7109.32</v>
      </c>
      <c r="G59" s="379">
        <v>24.92</v>
      </c>
      <c r="H59" s="379">
        <v>-11.95</v>
      </c>
      <c r="I59" s="379">
        <v>-30.66</v>
      </c>
      <c r="J59" s="379">
        <v>-8.74</v>
      </c>
      <c r="K59" s="379">
        <v>3.27</v>
      </c>
      <c r="L59" s="379">
        <v>2.41</v>
      </c>
      <c r="M59" s="379">
        <v>2.15</v>
      </c>
      <c r="N59" s="379">
        <v>2.84</v>
      </c>
    </row>
    <row r="60" spans="1:14">
      <c r="A60" s="290" t="s">
        <v>65</v>
      </c>
      <c r="B60" s="379">
        <v>2788.17</v>
      </c>
      <c r="C60" s="379">
        <v>180.03</v>
      </c>
      <c r="D60" s="379">
        <v>148.44999999999999</v>
      </c>
      <c r="E60" s="379">
        <v>182.62</v>
      </c>
      <c r="F60" s="379">
        <v>1901.89</v>
      </c>
      <c r="G60" s="379">
        <v>-1.1100000000000001</v>
      </c>
      <c r="H60" s="379">
        <v>-16.28</v>
      </c>
      <c r="I60" s="379">
        <v>1.44</v>
      </c>
      <c r="J60" s="379">
        <v>-19.41</v>
      </c>
      <c r="K60" s="379">
        <v>0.98</v>
      </c>
      <c r="L60" s="379">
        <v>0.56999999999999995</v>
      </c>
      <c r="M60" s="379">
        <v>0.67</v>
      </c>
      <c r="N60" s="379">
        <v>0.76</v>
      </c>
    </row>
    <row r="61" spans="1:14">
      <c r="A61" s="290" t="s">
        <v>66</v>
      </c>
      <c r="B61" s="379">
        <v>34.26</v>
      </c>
      <c r="C61" s="379">
        <v>1.93</v>
      </c>
      <c r="D61" s="379">
        <v>2.1800000000000002</v>
      </c>
      <c r="E61" s="379">
        <v>1.64</v>
      </c>
      <c r="F61" s="379">
        <v>17.37</v>
      </c>
      <c r="G61" s="379">
        <v>-59.53</v>
      </c>
      <c r="H61" s="379">
        <v>-49.65</v>
      </c>
      <c r="I61" s="379">
        <v>-15.03</v>
      </c>
      <c r="J61" s="379">
        <v>-45.15</v>
      </c>
      <c r="K61" s="379">
        <v>0.01</v>
      </c>
      <c r="L61" s="379">
        <v>0.01</v>
      </c>
      <c r="M61" s="379">
        <v>0.01</v>
      </c>
      <c r="N61" s="379">
        <v>0.01</v>
      </c>
    </row>
    <row r="62" spans="1:14">
      <c r="A62" s="290" t="s">
        <v>116</v>
      </c>
      <c r="B62" s="379">
        <v>0.08</v>
      </c>
      <c r="C62" s="379">
        <v>0</v>
      </c>
      <c r="D62" s="379">
        <v>0</v>
      </c>
      <c r="E62" s="379">
        <v>0</v>
      </c>
      <c r="F62" s="379">
        <v>0.21</v>
      </c>
      <c r="G62" s="379">
        <v>0</v>
      </c>
      <c r="H62" s="379">
        <v>0</v>
      </c>
      <c r="I62" s="379">
        <v>0</v>
      </c>
      <c r="J62" s="379">
        <v>162.5</v>
      </c>
      <c r="K62" s="379">
        <v>0</v>
      </c>
      <c r="L62" s="379">
        <v>0</v>
      </c>
      <c r="M62" s="379">
        <v>0</v>
      </c>
      <c r="N62" s="379">
        <v>0</v>
      </c>
    </row>
    <row r="63" spans="1:14">
      <c r="A63" s="290" t="s">
        <v>67</v>
      </c>
      <c r="B63" s="379">
        <v>15986.28</v>
      </c>
      <c r="C63" s="379">
        <v>1286.53</v>
      </c>
      <c r="D63" s="379">
        <v>1303.93</v>
      </c>
      <c r="E63" s="379">
        <v>1332.1</v>
      </c>
      <c r="F63" s="379">
        <v>12824.54</v>
      </c>
      <c r="G63" s="379">
        <v>2.15</v>
      </c>
      <c r="H63" s="379">
        <v>-5.47</v>
      </c>
      <c r="I63" s="379">
        <v>3.54</v>
      </c>
      <c r="J63" s="379">
        <v>-2.73</v>
      </c>
      <c r="K63" s="379">
        <v>5.61</v>
      </c>
      <c r="L63" s="379">
        <v>5.01</v>
      </c>
      <c r="M63" s="379">
        <v>4.88</v>
      </c>
      <c r="N63" s="379">
        <v>5.12</v>
      </c>
    </row>
    <row r="64" spans="1:14">
      <c r="A64" s="290" t="s">
        <v>68</v>
      </c>
      <c r="B64" s="379">
        <v>10050.67</v>
      </c>
      <c r="C64" s="379">
        <v>835.55</v>
      </c>
      <c r="D64" s="379">
        <v>883.97</v>
      </c>
      <c r="E64" s="379">
        <v>876.83</v>
      </c>
      <c r="F64" s="379">
        <v>8475.15</v>
      </c>
      <c r="G64" s="379">
        <v>2.2000000000000002</v>
      </c>
      <c r="H64" s="379">
        <v>-0.36</v>
      </c>
      <c r="I64" s="379">
        <v>4.9400000000000004</v>
      </c>
      <c r="J64" s="379">
        <v>1.27</v>
      </c>
      <c r="K64" s="379">
        <v>3.53</v>
      </c>
      <c r="L64" s="379">
        <v>3.4</v>
      </c>
      <c r="M64" s="379">
        <v>3.21</v>
      </c>
      <c r="N64" s="379">
        <v>3.39</v>
      </c>
    </row>
    <row r="65" spans="1:14">
      <c r="A65" s="290" t="s">
        <v>69</v>
      </c>
      <c r="B65" s="379">
        <v>4456.66</v>
      </c>
      <c r="C65" s="379">
        <v>324.64999999999998</v>
      </c>
      <c r="D65" s="379">
        <v>288.55</v>
      </c>
      <c r="E65" s="379">
        <v>305.67</v>
      </c>
      <c r="F65" s="379">
        <v>3043.82</v>
      </c>
      <c r="G65" s="379">
        <v>5.0599999999999996</v>
      </c>
      <c r="H65" s="379">
        <v>-20.61</v>
      </c>
      <c r="I65" s="379">
        <v>-5.85</v>
      </c>
      <c r="J65" s="379">
        <v>-15.1</v>
      </c>
      <c r="K65" s="379">
        <v>1.56</v>
      </c>
      <c r="L65" s="379">
        <v>1.1100000000000001</v>
      </c>
      <c r="M65" s="379">
        <v>1.1200000000000001</v>
      </c>
      <c r="N65" s="379">
        <v>1.22</v>
      </c>
    </row>
    <row r="66" spans="1:14">
      <c r="A66" s="290" t="s">
        <v>117</v>
      </c>
      <c r="B66" s="379">
        <v>800.66</v>
      </c>
      <c r="C66" s="379">
        <v>66.5</v>
      </c>
      <c r="D66" s="379">
        <v>72.400000000000006</v>
      </c>
      <c r="E66" s="379">
        <v>85.89</v>
      </c>
      <c r="F66" s="379">
        <v>723.54</v>
      </c>
      <c r="G66" s="379">
        <v>-13.92</v>
      </c>
      <c r="H66" s="379">
        <v>5.51</v>
      </c>
      <c r="I66" s="379">
        <v>29.16</v>
      </c>
      <c r="J66" s="379">
        <v>8.48</v>
      </c>
      <c r="K66" s="379">
        <v>0.28000000000000003</v>
      </c>
      <c r="L66" s="379">
        <v>0.28000000000000003</v>
      </c>
      <c r="M66" s="379">
        <v>0.31</v>
      </c>
      <c r="N66" s="379">
        <v>0.28999999999999998</v>
      </c>
    </row>
    <row r="67" spans="1:14">
      <c r="A67" s="290" t="s">
        <v>118</v>
      </c>
      <c r="B67" s="379">
        <v>639.54999999999995</v>
      </c>
      <c r="C67" s="379">
        <v>56.11</v>
      </c>
      <c r="D67" s="379">
        <v>54.83</v>
      </c>
      <c r="E67" s="379">
        <v>58.78</v>
      </c>
      <c r="F67" s="379">
        <v>543.75</v>
      </c>
      <c r="G67" s="379">
        <v>6.4</v>
      </c>
      <c r="H67" s="379">
        <v>-3.79</v>
      </c>
      <c r="I67" s="379">
        <v>4.76</v>
      </c>
      <c r="J67" s="379">
        <v>2.37</v>
      </c>
      <c r="K67" s="379">
        <v>0.22</v>
      </c>
      <c r="L67" s="379">
        <v>0.21</v>
      </c>
      <c r="M67" s="379">
        <v>0.22</v>
      </c>
      <c r="N67" s="379">
        <v>0.22</v>
      </c>
    </row>
    <row r="68" spans="1:14">
      <c r="A68" s="290" t="s">
        <v>119</v>
      </c>
      <c r="B68" s="379">
        <v>38.729999999999997</v>
      </c>
      <c r="C68" s="379">
        <v>3.73</v>
      </c>
      <c r="D68" s="379">
        <v>4.18</v>
      </c>
      <c r="E68" s="379">
        <v>4.92</v>
      </c>
      <c r="F68" s="379">
        <v>38.29</v>
      </c>
      <c r="G68" s="379">
        <v>-5.63</v>
      </c>
      <c r="H68" s="379">
        <v>33.97</v>
      </c>
      <c r="I68" s="379">
        <v>31.9</v>
      </c>
      <c r="J68" s="379">
        <v>19.25</v>
      </c>
      <c r="K68" s="379">
        <v>0.01</v>
      </c>
      <c r="L68" s="379">
        <v>0.02</v>
      </c>
      <c r="M68" s="379">
        <v>0.02</v>
      </c>
      <c r="N68" s="379">
        <v>0.02</v>
      </c>
    </row>
    <row r="69" spans="1:14">
      <c r="A69" s="290" t="s">
        <v>70</v>
      </c>
      <c r="B69" s="379">
        <v>1336.23</v>
      </c>
      <c r="C69" s="379">
        <v>36.119999999999997</v>
      </c>
      <c r="D69" s="379">
        <v>52.31</v>
      </c>
      <c r="E69" s="379">
        <v>49.86</v>
      </c>
      <c r="F69" s="379">
        <v>613.26</v>
      </c>
      <c r="G69" s="379">
        <v>88.28</v>
      </c>
      <c r="H69" s="379">
        <v>13.15</v>
      </c>
      <c r="I69" s="379">
        <v>38.04</v>
      </c>
      <c r="J69" s="379">
        <v>-51.37</v>
      </c>
      <c r="K69" s="379">
        <v>0.47</v>
      </c>
      <c r="L69" s="379">
        <v>0.2</v>
      </c>
      <c r="M69" s="379">
        <v>0.18</v>
      </c>
      <c r="N69" s="379">
        <v>0.24</v>
      </c>
    </row>
    <row r="70" spans="1:14">
      <c r="A70" s="290" t="s">
        <v>71</v>
      </c>
      <c r="B70" s="379">
        <v>46279.040000000001</v>
      </c>
      <c r="C70" s="379">
        <v>3758.06</v>
      </c>
      <c r="D70" s="379">
        <v>4925.4799999999996</v>
      </c>
      <c r="E70" s="379">
        <v>4870.6000000000004</v>
      </c>
      <c r="F70" s="379">
        <v>43757.29</v>
      </c>
      <c r="G70" s="379">
        <v>2.58</v>
      </c>
      <c r="H70" s="379">
        <v>8.19</v>
      </c>
      <c r="I70" s="379">
        <v>29.6</v>
      </c>
      <c r="J70" s="379">
        <v>15.08</v>
      </c>
      <c r="K70" s="379">
        <v>16.23</v>
      </c>
      <c r="L70" s="379">
        <v>18.93</v>
      </c>
      <c r="M70" s="379">
        <v>17.850000000000001</v>
      </c>
      <c r="N70" s="379">
        <v>17.48</v>
      </c>
    </row>
    <row r="71" spans="1:14">
      <c r="A71" s="290" t="s">
        <v>72</v>
      </c>
      <c r="B71" s="379">
        <v>17819.79</v>
      </c>
      <c r="C71" s="379">
        <v>1227.5899999999999</v>
      </c>
      <c r="D71" s="379">
        <v>2365.06</v>
      </c>
      <c r="E71" s="379">
        <v>2179.4299999999998</v>
      </c>
      <c r="F71" s="379">
        <v>19743</v>
      </c>
      <c r="G71" s="379">
        <v>-13.91</v>
      </c>
      <c r="H71" s="379">
        <v>25.5</v>
      </c>
      <c r="I71" s="379">
        <v>77.540000000000006</v>
      </c>
      <c r="J71" s="379">
        <v>37.130000000000003</v>
      </c>
      <c r="K71" s="379">
        <v>6.25</v>
      </c>
      <c r="L71" s="379">
        <v>9.09</v>
      </c>
      <c r="M71" s="379">
        <v>7.99</v>
      </c>
      <c r="N71" s="379">
        <v>7.89</v>
      </c>
    </row>
    <row r="72" spans="1:14">
      <c r="A72" s="290" t="s">
        <v>73</v>
      </c>
      <c r="B72" s="379">
        <v>8205.15</v>
      </c>
      <c r="C72" s="379">
        <v>394.44</v>
      </c>
      <c r="D72" s="379">
        <v>1095.7</v>
      </c>
      <c r="E72" s="379">
        <v>887.14</v>
      </c>
      <c r="F72" s="379">
        <v>8115.63</v>
      </c>
      <c r="G72" s="379">
        <v>-29.85</v>
      </c>
      <c r="H72" s="379">
        <v>3.83</v>
      </c>
      <c r="I72" s="379">
        <v>124.91</v>
      </c>
      <c r="J72" s="379">
        <v>24.39</v>
      </c>
      <c r="K72" s="379">
        <v>2.88</v>
      </c>
      <c r="L72" s="379">
        <v>4.21</v>
      </c>
      <c r="M72" s="379">
        <v>3.25</v>
      </c>
      <c r="N72" s="379">
        <v>3.24</v>
      </c>
    </row>
    <row r="73" spans="1:14">
      <c r="A73" s="290" t="s">
        <v>74</v>
      </c>
      <c r="B73" s="379">
        <v>9701.65</v>
      </c>
      <c r="C73" s="379">
        <v>750.84</v>
      </c>
      <c r="D73" s="379">
        <v>842.59</v>
      </c>
      <c r="E73" s="379">
        <v>764.75</v>
      </c>
      <c r="F73" s="379">
        <v>7145.07</v>
      </c>
      <c r="G73" s="379">
        <v>4.2300000000000004</v>
      </c>
      <c r="H73" s="379">
        <v>1.19</v>
      </c>
      <c r="I73" s="379">
        <v>1.85</v>
      </c>
      <c r="J73" s="379">
        <v>-12.53</v>
      </c>
      <c r="K73" s="379">
        <v>3.4</v>
      </c>
      <c r="L73" s="379">
        <v>3.24</v>
      </c>
      <c r="M73" s="379">
        <v>2.8</v>
      </c>
      <c r="N73" s="379">
        <v>2.85</v>
      </c>
    </row>
    <row r="74" spans="1:14">
      <c r="A74" s="290" t="s">
        <v>75</v>
      </c>
      <c r="B74" s="379">
        <v>5239.57</v>
      </c>
      <c r="C74" s="379">
        <v>451.43</v>
      </c>
      <c r="D74" s="379">
        <v>263.02999999999997</v>
      </c>
      <c r="E74" s="379">
        <v>294.85000000000002</v>
      </c>
      <c r="F74" s="379">
        <v>3467.59</v>
      </c>
      <c r="G74" s="379">
        <v>53.29</v>
      </c>
      <c r="H74" s="379">
        <v>-36.82</v>
      </c>
      <c r="I74" s="379">
        <v>-34.69</v>
      </c>
      <c r="J74" s="379">
        <v>-19.239999999999998</v>
      </c>
      <c r="K74" s="379">
        <v>1.84</v>
      </c>
      <c r="L74" s="379">
        <v>1.01</v>
      </c>
      <c r="M74" s="379">
        <v>1.08</v>
      </c>
      <c r="N74" s="379">
        <v>1.39</v>
      </c>
    </row>
    <row r="75" spans="1:14">
      <c r="A75" s="290" t="s">
        <v>76</v>
      </c>
      <c r="B75" s="379">
        <v>13518.02</v>
      </c>
      <c r="C75" s="379">
        <v>1328.2</v>
      </c>
      <c r="D75" s="379">
        <v>1454.8</v>
      </c>
      <c r="E75" s="379">
        <v>1631.56</v>
      </c>
      <c r="F75" s="379">
        <v>13401.63</v>
      </c>
      <c r="G75" s="379">
        <v>15.64</v>
      </c>
      <c r="H75" s="379">
        <v>2.5099999999999998</v>
      </c>
      <c r="I75" s="379">
        <v>22.84</v>
      </c>
      <c r="J75" s="379">
        <v>20.059999999999999</v>
      </c>
      <c r="K75" s="379">
        <v>4.74</v>
      </c>
      <c r="L75" s="379">
        <v>5.59</v>
      </c>
      <c r="M75" s="379">
        <v>5.98</v>
      </c>
      <c r="N75" s="379">
        <v>5.35</v>
      </c>
    </row>
    <row r="76" spans="1:14">
      <c r="A76" s="290" t="s">
        <v>77</v>
      </c>
      <c r="B76" s="379">
        <v>28656.36</v>
      </c>
      <c r="C76" s="379">
        <v>2132.13</v>
      </c>
      <c r="D76" s="379">
        <v>2596.19</v>
      </c>
      <c r="E76" s="379">
        <v>2461.84</v>
      </c>
      <c r="F76" s="379">
        <v>24508.6</v>
      </c>
      <c r="G76" s="379">
        <v>-2.4300000000000002</v>
      </c>
      <c r="H76" s="379">
        <v>7.29</v>
      </c>
      <c r="I76" s="379">
        <v>15.46</v>
      </c>
      <c r="J76" s="379">
        <v>0.81</v>
      </c>
      <c r="K76" s="379">
        <v>10.050000000000001</v>
      </c>
      <c r="L76" s="379">
        <v>9.98</v>
      </c>
      <c r="M76" s="379">
        <v>9.02</v>
      </c>
      <c r="N76" s="379">
        <v>9.7899999999999991</v>
      </c>
    </row>
    <row r="77" spans="1:14">
      <c r="A77" s="290" t="s">
        <v>78</v>
      </c>
      <c r="B77" s="379">
        <v>6501.43</v>
      </c>
      <c r="C77" s="379">
        <v>345.36</v>
      </c>
      <c r="D77" s="379">
        <v>521.91</v>
      </c>
      <c r="E77" s="379">
        <v>500.24</v>
      </c>
      <c r="F77" s="379">
        <v>5755.91</v>
      </c>
      <c r="G77" s="379">
        <v>-7.7</v>
      </c>
      <c r="H77" s="379">
        <v>22.46</v>
      </c>
      <c r="I77" s="379">
        <v>44.85</v>
      </c>
      <c r="J77" s="379">
        <v>1.98</v>
      </c>
      <c r="K77" s="379">
        <v>2.2799999999999998</v>
      </c>
      <c r="L77" s="379">
        <v>2.0099999999999998</v>
      </c>
      <c r="M77" s="379">
        <v>1.83</v>
      </c>
      <c r="N77" s="379">
        <v>2.2999999999999998</v>
      </c>
    </row>
    <row r="78" spans="1:14">
      <c r="A78" s="290" t="s">
        <v>79</v>
      </c>
      <c r="B78" s="379">
        <v>3058.22</v>
      </c>
      <c r="C78" s="379">
        <v>257.04000000000002</v>
      </c>
      <c r="D78" s="379">
        <v>247.85</v>
      </c>
      <c r="E78" s="379">
        <v>240.73</v>
      </c>
      <c r="F78" s="379">
        <v>2417.6</v>
      </c>
      <c r="G78" s="379">
        <v>9.41</v>
      </c>
      <c r="H78" s="379">
        <v>-18.09</v>
      </c>
      <c r="I78" s="379">
        <v>-6.35</v>
      </c>
      <c r="J78" s="379">
        <v>-6.64</v>
      </c>
      <c r="K78" s="379">
        <v>1.07</v>
      </c>
      <c r="L78" s="379">
        <v>0.95</v>
      </c>
      <c r="M78" s="379">
        <v>0.88</v>
      </c>
      <c r="N78" s="379">
        <v>0.97</v>
      </c>
    </row>
    <row r="79" spans="1:14">
      <c r="A79" s="290" t="s">
        <v>80</v>
      </c>
      <c r="B79" s="379">
        <v>2069.9</v>
      </c>
      <c r="C79" s="379">
        <v>166.99</v>
      </c>
      <c r="D79" s="379">
        <v>191.85</v>
      </c>
      <c r="E79" s="379">
        <v>191.78</v>
      </c>
      <c r="F79" s="379">
        <v>1842.08</v>
      </c>
      <c r="G79" s="379">
        <v>-6.86</v>
      </c>
      <c r="H79" s="379">
        <v>4.24</v>
      </c>
      <c r="I79" s="379">
        <v>14.85</v>
      </c>
      <c r="J79" s="379">
        <v>6.08</v>
      </c>
      <c r="K79" s="379">
        <v>0.73</v>
      </c>
      <c r="L79" s="379">
        <v>0.74</v>
      </c>
      <c r="M79" s="379">
        <v>0.7</v>
      </c>
      <c r="N79" s="379">
        <v>0.74</v>
      </c>
    </row>
    <row r="80" spans="1:14">
      <c r="A80" s="290" t="s">
        <v>81</v>
      </c>
      <c r="B80" s="379">
        <v>2693.7</v>
      </c>
      <c r="C80" s="379">
        <v>216.83</v>
      </c>
      <c r="D80" s="379">
        <v>323.77</v>
      </c>
      <c r="E80" s="379">
        <v>251.42</v>
      </c>
      <c r="F80" s="379">
        <v>2601.42</v>
      </c>
      <c r="G80" s="379">
        <v>-1.0900000000000001</v>
      </c>
      <c r="H80" s="379">
        <v>40.67</v>
      </c>
      <c r="I80" s="379">
        <v>15.95</v>
      </c>
      <c r="J80" s="379">
        <v>14.93</v>
      </c>
      <c r="K80" s="379">
        <v>0.94</v>
      </c>
      <c r="L80" s="379">
        <v>1.24</v>
      </c>
      <c r="M80" s="379">
        <v>0.92</v>
      </c>
      <c r="N80" s="379">
        <v>1.04</v>
      </c>
    </row>
    <row r="81" spans="1:14">
      <c r="A81" s="290" t="s">
        <v>120</v>
      </c>
      <c r="B81" s="379">
        <v>14280.62</v>
      </c>
      <c r="C81" s="379">
        <v>1135.9000000000001</v>
      </c>
      <c r="D81" s="379">
        <v>1306.33</v>
      </c>
      <c r="E81" s="379">
        <v>1272.55</v>
      </c>
      <c r="F81" s="379">
        <v>11777.57</v>
      </c>
      <c r="G81" s="379">
        <v>-2.06</v>
      </c>
      <c r="H81" s="379">
        <v>2.35</v>
      </c>
      <c r="I81" s="379">
        <v>12.03</v>
      </c>
      <c r="J81" s="379">
        <v>-2.39</v>
      </c>
      <c r="K81" s="379">
        <v>5.01</v>
      </c>
      <c r="L81" s="379">
        <v>5.0199999999999996</v>
      </c>
      <c r="M81" s="379">
        <v>4.66</v>
      </c>
      <c r="N81" s="379">
        <v>4.7</v>
      </c>
    </row>
    <row r="82" spans="1:14">
      <c r="A82" s="290" t="s">
        <v>82</v>
      </c>
      <c r="B82" s="379">
        <v>14787.22</v>
      </c>
      <c r="C82" s="379">
        <v>1577.07</v>
      </c>
      <c r="D82" s="379">
        <v>2016.61</v>
      </c>
      <c r="E82" s="379">
        <v>2971.74</v>
      </c>
      <c r="F82" s="379">
        <v>15418.56</v>
      </c>
      <c r="G82" s="379">
        <v>-2.15</v>
      </c>
      <c r="H82" s="379">
        <v>-6.53</v>
      </c>
      <c r="I82" s="379">
        <v>88.43</v>
      </c>
      <c r="J82" s="379">
        <v>19.93</v>
      </c>
      <c r="K82" s="379">
        <v>5.19</v>
      </c>
      <c r="L82" s="379">
        <v>7.75</v>
      </c>
      <c r="M82" s="379">
        <v>10.89</v>
      </c>
      <c r="N82" s="379">
        <v>6.16</v>
      </c>
    </row>
    <row r="83" spans="1:14">
      <c r="A83" s="290" t="s">
        <v>83</v>
      </c>
      <c r="B83" s="379">
        <v>5978.83</v>
      </c>
      <c r="C83" s="379">
        <v>828.71</v>
      </c>
      <c r="D83" s="379">
        <v>741.16</v>
      </c>
      <c r="E83" s="379">
        <v>2231.85</v>
      </c>
      <c r="F83" s="379">
        <v>7626.53</v>
      </c>
      <c r="G83" s="379">
        <v>-15.51</v>
      </c>
      <c r="H83" s="379">
        <v>-14.99</v>
      </c>
      <c r="I83" s="379">
        <v>169.32</v>
      </c>
      <c r="J83" s="379">
        <v>43.53</v>
      </c>
      <c r="K83" s="379">
        <v>2.1</v>
      </c>
      <c r="L83" s="379">
        <v>2.85</v>
      </c>
      <c r="M83" s="379">
        <v>8.18</v>
      </c>
      <c r="N83" s="379">
        <v>3.05</v>
      </c>
    </row>
    <row r="84" spans="1:14">
      <c r="A84" s="290" t="s">
        <v>84</v>
      </c>
      <c r="B84" s="379">
        <v>8808.39</v>
      </c>
      <c r="C84" s="379">
        <v>748.36</v>
      </c>
      <c r="D84" s="379">
        <v>1275.45</v>
      </c>
      <c r="E84" s="379">
        <v>739.89</v>
      </c>
      <c r="F84" s="379">
        <v>7792.03</v>
      </c>
      <c r="G84" s="379">
        <v>9.61</v>
      </c>
      <c r="H84" s="379">
        <v>-0.79</v>
      </c>
      <c r="I84" s="379">
        <v>-1.1299999999999999</v>
      </c>
      <c r="J84" s="379">
        <v>3.3</v>
      </c>
      <c r="K84" s="379">
        <v>3.09</v>
      </c>
      <c r="L84" s="379">
        <v>4.9000000000000004</v>
      </c>
      <c r="M84" s="379">
        <v>2.71</v>
      </c>
      <c r="N84" s="379">
        <v>3.11</v>
      </c>
    </row>
    <row r="85" spans="1:14">
      <c r="A85" s="290" t="s">
        <v>85</v>
      </c>
      <c r="B85" s="379">
        <v>13034.94</v>
      </c>
      <c r="C85" s="379">
        <v>1084.5999999999999</v>
      </c>
      <c r="D85" s="379">
        <v>1122.1300000000001</v>
      </c>
      <c r="E85" s="379">
        <v>1165.83</v>
      </c>
      <c r="F85" s="379">
        <v>11100</v>
      </c>
      <c r="G85" s="379">
        <v>-14.49</v>
      </c>
      <c r="H85" s="379">
        <v>-1.93</v>
      </c>
      <c r="I85" s="379">
        <v>7.49</v>
      </c>
      <c r="J85" s="379">
        <v>1.18</v>
      </c>
      <c r="K85" s="379">
        <v>4.57</v>
      </c>
      <c r="L85" s="379">
        <v>4.3099999999999996</v>
      </c>
      <c r="M85" s="379">
        <v>4.2699999999999996</v>
      </c>
      <c r="N85" s="379">
        <v>4.43</v>
      </c>
    </row>
    <row r="86" spans="1:14">
      <c r="A86" s="290" t="s">
        <v>86</v>
      </c>
      <c r="B86" s="379">
        <v>8877.4599999999991</v>
      </c>
      <c r="C86" s="379">
        <v>725.78</v>
      </c>
      <c r="D86" s="379">
        <v>738.85</v>
      </c>
      <c r="E86" s="379">
        <v>755.87</v>
      </c>
      <c r="F86" s="379">
        <v>7363.46</v>
      </c>
      <c r="G86" s="379">
        <v>-16.89</v>
      </c>
      <c r="H86" s="379">
        <v>-5.23</v>
      </c>
      <c r="I86" s="379">
        <v>4.1500000000000004</v>
      </c>
      <c r="J86" s="379">
        <v>-2.2599999999999998</v>
      </c>
      <c r="K86" s="379">
        <v>3.11</v>
      </c>
      <c r="L86" s="379">
        <v>2.84</v>
      </c>
      <c r="M86" s="379">
        <v>2.77</v>
      </c>
      <c r="N86" s="379">
        <v>2.94</v>
      </c>
    </row>
    <row r="87" spans="1:14">
      <c r="A87" s="290" t="s">
        <v>121</v>
      </c>
      <c r="B87" s="379">
        <v>4157.4799999999996</v>
      </c>
      <c r="C87" s="379">
        <v>358.83</v>
      </c>
      <c r="D87" s="379">
        <v>383.28</v>
      </c>
      <c r="E87" s="379">
        <v>409.95</v>
      </c>
      <c r="F87" s="379">
        <v>3736.54</v>
      </c>
      <c r="G87" s="379">
        <v>-8.86</v>
      </c>
      <c r="H87" s="379">
        <v>5.13</v>
      </c>
      <c r="I87" s="379">
        <v>14.25</v>
      </c>
      <c r="J87" s="379">
        <v>8.7200000000000006</v>
      </c>
      <c r="K87" s="379">
        <v>1.46</v>
      </c>
      <c r="L87" s="379">
        <v>1.47</v>
      </c>
      <c r="M87" s="379">
        <v>1.5</v>
      </c>
      <c r="N87" s="379">
        <v>1.49</v>
      </c>
    </row>
    <row r="88" spans="1:14">
      <c r="A88" s="290" t="s">
        <v>87</v>
      </c>
      <c r="B88" s="379">
        <v>11086.51</v>
      </c>
      <c r="C88" s="379">
        <v>837.06</v>
      </c>
      <c r="D88" s="379">
        <v>912.46</v>
      </c>
      <c r="E88" s="379">
        <v>987.08</v>
      </c>
      <c r="F88" s="379">
        <v>9524.91</v>
      </c>
      <c r="G88" s="379">
        <v>-6.66</v>
      </c>
      <c r="H88" s="379">
        <v>1.69</v>
      </c>
      <c r="I88" s="379">
        <v>17.920000000000002</v>
      </c>
      <c r="J88" s="379">
        <v>5.78</v>
      </c>
      <c r="K88" s="379">
        <v>3.89</v>
      </c>
      <c r="L88" s="379">
        <v>3.51</v>
      </c>
      <c r="M88" s="379">
        <v>3.62</v>
      </c>
      <c r="N88" s="379">
        <v>3.8</v>
      </c>
    </row>
    <row r="89" spans="1:14">
      <c r="A89" s="290" t="s">
        <v>88</v>
      </c>
      <c r="B89" s="379">
        <v>6952.77</v>
      </c>
      <c r="C89" s="379">
        <v>513.57000000000005</v>
      </c>
      <c r="D89" s="379">
        <v>511.63</v>
      </c>
      <c r="E89" s="379">
        <v>524.70000000000005</v>
      </c>
      <c r="F89" s="379">
        <v>5566.11</v>
      </c>
      <c r="G89" s="379">
        <v>-0.69</v>
      </c>
      <c r="H89" s="379">
        <v>-7.58</v>
      </c>
      <c r="I89" s="379">
        <v>2.17</v>
      </c>
      <c r="J89" s="379">
        <v>-0.11</v>
      </c>
      <c r="K89" s="379">
        <v>2.44</v>
      </c>
      <c r="L89" s="379">
        <v>1.97</v>
      </c>
      <c r="M89" s="379">
        <v>1.92</v>
      </c>
      <c r="N89" s="379">
        <v>2.2200000000000002</v>
      </c>
    </row>
    <row r="90" spans="1:14">
      <c r="A90" s="290" t="s">
        <v>122</v>
      </c>
      <c r="B90" s="379">
        <v>2621.46</v>
      </c>
      <c r="C90" s="379">
        <v>208.62</v>
      </c>
      <c r="D90" s="379">
        <v>273.66000000000003</v>
      </c>
      <c r="E90" s="379">
        <v>322.69</v>
      </c>
      <c r="F90" s="379">
        <v>2688.67</v>
      </c>
      <c r="G90" s="379">
        <v>-15.86</v>
      </c>
      <c r="H90" s="379">
        <v>22.76</v>
      </c>
      <c r="I90" s="379">
        <v>54.68</v>
      </c>
      <c r="J90" s="379">
        <v>24.05</v>
      </c>
      <c r="K90" s="379">
        <v>0.92</v>
      </c>
      <c r="L90" s="379">
        <v>1.05</v>
      </c>
      <c r="M90" s="379">
        <v>1.18</v>
      </c>
      <c r="N90" s="379">
        <v>1.07</v>
      </c>
    </row>
    <row r="91" spans="1:14">
      <c r="A91" s="290" t="s">
        <v>89</v>
      </c>
      <c r="B91" s="379">
        <v>6032.21</v>
      </c>
      <c r="C91" s="379">
        <v>509.33</v>
      </c>
      <c r="D91" s="379">
        <v>493.09</v>
      </c>
      <c r="E91" s="379">
        <v>536.48</v>
      </c>
      <c r="F91" s="379">
        <v>5148.83</v>
      </c>
      <c r="G91" s="379">
        <v>-11.95</v>
      </c>
      <c r="H91" s="379">
        <v>-3.01</v>
      </c>
      <c r="I91" s="379">
        <v>5.33</v>
      </c>
      <c r="J91" s="379">
        <v>1.91</v>
      </c>
      <c r="K91" s="379">
        <v>2.12</v>
      </c>
      <c r="L91" s="379">
        <v>1.89</v>
      </c>
      <c r="M91" s="379">
        <v>1.97</v>
      </c>
      <c r="N91" s="379">
        <v>2.06</v>
      </c>
    </row>
    <row r="92" spans="1:14">
      <c r="A92" s="290" t="s">
        <v>90</v>
      </c>
      <c r="B92" s="379">
        <v>13236.93</v>
      </c>
      <c r="C92" s="379">
        <v>1042.21</v>
      </c>
      <c r="D92" s="379">
        <v>1206.49</v>
      </c>
      <c r="E92" s="379">
        <v>1323.41</v>
      </c>
      <c r="F92" s="379">
        <v>11501.91</v>
      </c>
      <c r="G92" s="379">
        <v>-4.51</v>
      </c>
      <c r="H92" s="379">
        <v>15.63</v>
      </c>
      <c r="I92" s="379">
        <v>26.98</v>
      </c>
      <c r="J92" s="379">
        <v>4.29</v>
      </c>
      <c r="K92" s="379">
        <v>4.6399999999999997</v>
      </c>
      <c r="L92" s="379">
        <v>4.6399999999999997</v>
      </c>
      <c r="M92" s="379">
        <v>4.8499999999999996</v>
      </c>
      <c r="N92" s="379">
        <v>4.59</v>
      </c>
    </row>
    <row r="93" spans="1:14">
      <c r="A93" s="290" t="s">
        <v>91</v>
      </c>
      <c r="B93" s="379">
        <v>7142.22</v>
      </c>
      <c r="C93" s="379">
        <v>616.94000000000005</v>
      </c>
      <c r="D93" s="379">
        <v>663.46</v>
      </c>
      <c r="E93" s="379">
        <v>675.51</v>
      </c>
      <c r="F93" s="379">
        <v>6285.71</v>
      </c>
      <c r="G93" s="379">
        <v>4.1100000000000003</v>
      </c>
      <c r="H93" s="379">
        <v>6.39</v>
      </c>
      <c r="I93" s="379">
        <v>9.49</v>
      </c>
      <c r="J93" s="379">
        <v>6.49</v>
      </c>
      <c r="K93" s="379">
        <v>2.5099999999999998</v>
      </c>
      <c r="L93" s="379">
        <v>2.5499999999999998</v>
      </c>
      <c r="M93" s="379">
        <v>2.48</v>
      </c>
      <c r="N93" s="379">
        <v>2.5099999999999998</v>
      </c>
    </row>
    <row r="94" spans="1:14">
      <c r="A94" s="290" t="s">
        <v>92</v>
      </c>
      <c r="B94" s="379">
        <v>1267.8499999999999</v>
      </c>
      <c r="C94" s="379">
        <v>104.56</v>
      </c>
      <c r="D94" s="379">
        <v>126.35</v>
      </c>
      <c r="E94" s="379">
        <v>134.87</v>
      </c>
      <c r="F94" s="379">
        <v>1214.6600000000001</v>
      </c>
      <c r="G94" s="379">
        <v>-17.829999999999998</v>
      </c>
      <c r="H94" s="379">
        <v>25.21</v>
      </c>
      <c r="I94" s="379">
        <v>28.99</v>
      </c>
      <c r="J94" s="379">
        <v>13.13</v>
      </c>
      <c r="K94" s="379">
        <v>0.44</v>
      </c>
      <c r="L94" s="379">
        <v>0.49</v>
      </c>
      <c r="M94" s="379">
        <v>0.49</v>
      </c>
      <c r="N94" s="379">
        <v>0.49</v>
      </c>
    </row>
    <row r="95" spans="1:14">
      <c r="A95" s="290" t="s">
        <v>93</v>
      </c>
      <c r="B95" s="379">
        <v>8056.06</v>
      </c>
      <c r="C95" s="379">
        <v>655.85</v>
      </c>
      <c r="D95" s="379">
        <v>681.7</v>
      </c>
      <c r="E95" s="379">
        <v>776.48</v>
      </c>
      <c r="F95" s="379">
        <v>6951.52</v>
      </c>
      <c r="G95" s="379">
        <v>-15.95</v>
      </c>
      <c r="H95" s="379">
        <v>4.3499999999999996</v>
      </c>
      <c r="I95" s="379">
        <v>18.39</v>
      </c>
      <c r="J95" s="379">
        <v>2.59</v>
      </c>
      <c r="K95" s="379">
        <v>2.83</v>
      </c>
      <c r="L95" s="379">
        <v>2.62</v>
      </c>
      <c r="M95" s="379">
        <v>2.85</v>
      </c>
      <c r="N95" s="379">
        <v>2.78</v>
      </c>
    </row>
    <row r="96" spans="1:14">
      <c r="A96" s="290" t="s">
        <v>94</v>
      </c>
      <c r="B96" s="379">
        <v>8791.0400000000009</v>
      </c>
      <c r="C96" s="379">
        <v>722.1</v>
      </c>
      <c r="D96" s="379">
        <v>921.12</v>
      </c>
      <c r="E96" s="379">
        <v>1032.57</v>
      </c>
      <c r="F96" s="379">
        <v>8470.2000000000007</v>
      </c>
      <c r="G96" s="379">
        <v>0.41</v>
      </c>
      <c r="H96" s="379">
        <v>8.9499999999999993</v>
      </c>
      <c r="I96" s="379">
        <v>43</v>
      </c>
      <c r="J96" s="379">
        <v>15.71</v>
      </c>
      <c r="K96" s="379">
        <v>3.08</v>
      </c>
      <c r="L96" s="379">
        <v>3.54</v>
      </c>
      <c r="M96" s="379">
        <v>3.78</v>
      </c>
      <c r="N96" s="379">
        <v>3.38</v>
      </c>
    </row>
    <row r="97" spans="1:14">
      <c r="A97" s="290" t="s">
        <v>95</v>
      </c>
      <c r="B97" s="379">
        <v>3381.25</v>
      </c>
      <c r="C97" s="379">
        <v>285.56</v>
      </c>
      <c r="D97" s="379">
        <v>309.83999999999997</v>
      </c>
      <c r="E97" s="379">
        <v>320.63</v>
      </c>
      <c r="F97" s="379">
        <v>3027.27</v>
      </c>
      <c r="G97" s="379">
        <v>3.91</v>
      </c>
      <c r="H97" s="379">
        <v>11.55</v>
      </c>
      <c r="I97" s="379">
        <v>12.28</v>
      </c>
      <c r="J97" s="379">
        <v>8.24</v>
      </c>
      <c r="K97" s="379">
        <v>1.19</v>
      </c>
      <c r="L97" s="379">
        <v>1.19</v>
      </c>
      <c r="M97" s="379">
        <v>1.17</v>
      </c>
      <c r="N97" s="379">
        <v>1.21</v>
      </c>
    </row>
    <row r="98" spans="1:14">
      <c r="A98" s="290" t="s">
        <v>96</v>
      </c>
      <c r="B98" s="379">
        <v>1357.1</v>
      </c>
      <c r="C98" s="379">
        <v>117.3</v>
      </c>
      <c r="D98" s="379">
        <v>126.66</v>
      </c>
      <c r="E98" s="379">
        <v>130.06</v>
      </c>
      <c r="F98" s="379">
        <v>1197.18</v>
      </c>
      <c r="G98" s="379">
        <v>-15.65</v>
      </c>
      <c r="H98" s="379">
        <v>9.5</v>
      </c>
      <c r="I98" s="379">
        <v>10.88</v>
      </c>
      <c r="J98" s="379">
        <v>7.17</v>
      </c>
      <c r="K98" s="379">
        <v>0.48</v>
      </c>
      <c r="L98" s="379">
        <v>0.49</v>
      </c>
      <c r="M98" s="379">
        <v>0.48</v>
      </c>
      <c r="N98" s="379">
        <v>0.48</v>
      </c>
    </row>
    <row r="99" spans="1:14">
      <c r="A99" s="290" t="s">
        <v>97</v>
      </c>
      <c r="B99" s="379">
        <v>1586.87</v>
      </c>
      <c r="C99" s="379">
        <v>129.18</v>
      </c>
      <c r="D99" s="379">
        <v>162.83000000000001</v>
      </c>
      <c r="E99" s="379">
        <v>166.66</v>
      </c>
      <c r="F99" s="379">
        <v>1427.54</v>
      </c>
      <c r="G99" s="379">
        <v>-1.72</v>
      </c>
      <c r="H99" s="379">
        <v>25.91</v>
      </c>
      <c r="I99" s="379">
        <v>29.01</v>
      </c>
      <c r="J99" s="379">
        <v>7.62</v>
      </c>
      <c r="K99" s="379">
        <v>0.56000000000000005</v>
      </c>
      <c r="L99" s="379">
        <v>0.63</v>
      </c>
      <c r="M99" s="379">
        <v>0.61</v>
      </c>
      <c r="N99" s="379">
        <v>0.56999999999999995</v>
      </c>
    </row>
    <row r="100" spans="1:14">
      <c r="A100" s="290" t="s">
        <v>123</v>
      </c>
      <c r="B100" s="379">
        <v>970.69</v>
      </c>
      <c r="C100" s="379">
        <v>78.459999999999994</v>
      </c>
      <c r="D100" s="379">
        <v>105.54</v>
      </c>
      <c r="E100" s="379">
        <v>103.55</v>
      </c>
      <c r="F100" s="379">
        <v>902.01</v>
      </c>
      <c r="G100" s="379">
        <v>-1.29</v>
      </c>
      <c r="H100" s="379">
        <v>39.159999999999997</v>
      </c>
      <c r="I100" s="379">
        <v>31.98</v>
      </c>
      <c r="J100" s="379">
        <v>10.35</v>
      </c>
      <c r="K100" s="379">
        <v>0.34</v>
      </c>
      <c r="L100" s="379">
        <v>0.41</v>
      </c>
      <c r="M100" s="379">
        <v>0.38</v>
      </c>
      <c r="N100" s="379">
        <v>0.36</v>
      </c>
    </row>
    <row r="101" spans="1:14">
      <c r="A101" s="290" t="s">
        <v>124</v>
      </c>
      <c r="B101" s="379">
        <v>616.17999999999995</v>
      </c>
      <c r="C101" s="379">
        <v>50.72</v>
      </c>
      <c r="D101" s="379">
        <v>57.28</v>
      </c>
      <c r="E101" s="379">
        <v>63.1</v>
      </c>
      <c r="F101" s="379">
        <v>525.53</v>
      </c>
      <c r="G101" s="379">
        <v>-2.38</v>
      </c>
      <c r="H101" s="379">
        <v>7.11</v>
      </c>
      <c r="I101" s="379">
        <v>24.41</v>
      </c>
      <c r="J101" s="379">
        <v>3.23</v>
      </c>
      <c r="K101" s="379">
        <v>0.22</v>
      </c>
      <c r="L101" s="379">
        <v>0.22</v>
      </c>
      <c r="M101" s="379">
        <v>0.23</v>
      </c>
      <c r="N101" s="379">
        <v>0.21</v>
      </c>
    </row>
    <row r="102" spans="1:14">
      <c r="A102" s="290" t="s">
        <v>98</v>
      </c>
      <c r="B102" s="379">
        <v>619.6</v>
      </c>
      <c r="C102" s="379">
        <v>52.32</v>
      </c>
      <c r="D102" s="379">
        <v>52.86</v>
      </c>
      <c r="E102" s="379">
        <v>55.89</v>
      </c>
      <c r="F102" s="379">
        <v>517.27</v>
      </c>
      <c r="G102" s="379">
        <v>-16.309999999999999</v>
      </c>
      <c r="H102" s="379">
        <v>-6.03</v>
      </c>
      <c r="I102" s="379">
        <v>6.82</v>
      </c>
      <c r="J102" s="379">
        <v>0.23</v>
      </c>
      <c r="K102" s="379">
        <v>0.22</v>
      </c>
      <c r="L102" s="379">
        <v>0.2</v>
      </c>
      <c r="M102" s="379">
        <v>0.2</v>
      </c>
      <c r="N102" s="379">
        <v>0.21</v>
      </c>
    </row>
    <row r="103" spans="1:14">
      <c r="A103" s="290" t="s">
        <v>99</v>
      </c>
      <c r="B103" s="379">
        <v>689.9</v>
      </c>
      <c r="C103" s="379">
        <v>54.87</v>
      </c>
      <c r="D103" s="379">
        <v>58.5</v>
      </c>
      <c r="E103" s="379">
        <v>59.64</v>
      </c>
      <c r="F103" s="379">
        <v>604.88</v>
      </c>
      <c r="G103" s="379">
        <v>-13.86</v>
      </c>
      <c r="H103" s="379">
        <v>-2.89</v>
      </c>
      <c r="I103" s="379">
        <v>8.69</v>
      </c>
      <c r="J103" s="379">
        <v>5.57</v>
      </c>
      <c r="K103" s="379">
        <v>0.24</v>
      </c>
      <c r="L103" s="379">
        <v>0.22</v>
      </c>
      <c r="M103" s="379">
        <v>0.22</v>
      </c>
      <c r="N103" s="379">
        <v>0.24</v>
      </c>
    </row>
    <row r="104" spans="1:14">
      <c r="A104" s="290" t="s">
        <v>125</v>
      </c>
      <c r="B104" s="379">
        <v>574.91999999999996</v>
      </c>
      <c r="C104" s="379">
        <v>44.44</v>
      </c>
      <c r="D104" s="379">
        <v>43.59</v>
      </c>
      <c r="E104" s="379">
        <v>52.88</v>
      </c>
      <c r="F104" s="379">
        <v>463.24</v>
      </c>
      <c r="G104" s="379">
        <v>-13.53</v>
      </c>
      <c r="H104" s="379">
        <v>-8</v>
      </c>
      <c r="I104" s="379">
        <v>18.989999999999998</v>
      </c>
      <c r="J104" s="379">
        <v>-4.45</v>
      </c>
      <c r="K104" s="379">
        <v>0.2</v>
      </c>
      <c r="L104" s="379">
        <v>0.17</v>
      </c>
      <c r="M104" s="379">
        <v>0.19</v>
      </c>
      <c r="N104" s="379">
        <v>0.19</v>
      </c>
    </row>
    <row r="105" spans="1:14">
      <c r="A105" s="290" t="s">
        <v>126</v>
      </c>
      <c r="B105" s="379">
        <v>560.94000000000005</v>
      </c>
      <c r="C105" s="379">
        <v>44.91</v>
      </c>
      <c r="D105" s="379">
        <v>44.75</v>
      </c>
      <c r="E105" s="379">
        <v>45.77</v>
      </c>
      <c r="F105" s="379">
        <v>466.82</v>
      </c>
      <c r="G105" s="379">
        <v>-11.29</v>
      </c>
      <c r="H105" s="379">
        <v>-1.21</v>
      </c>
      <c r="I105" s="379">
        <v>1.91</v>
      </c>
      <c r="J105" s="379">
        <v>-1.45</v>
      </c>
      <c r="K105" s="379">
        <v>0.2</v>
      </c>
      <c r="L105" s="379">
        <v>0.17</v>
      </c>
      <c r="M105" s="379">
        <v>0.17</v>
      </c>
      <c r="N105" s="379">
        <v>0.19</v>
      </c>
    </row>
    <row r="106" spans="1:14">
      <c r="A106" s="290" t="s">
        <v>127</v>
      </c>
      <c r="B106" s="379">
        <v>661.82</v>
      </c>
      <c r="C106" s="379">
        <v>58.95</v>
      </c>
      <c r="D106" s="379">
        <v>80.540000000000006</v>
      </c>
      <c r="E106" s="379">
        <v>62.04</v>
      </c>
      <c r="F106" s="379">
        <v>607.87</v>
      </c>
      <c r="G106" s="379">
        <v>21.6</v>
      </c>
      <c r="H106" s="379">
        <v>36.72</v>
      </c>
      <c r="I106" s="379">
        <v>5.24</v>
      </c>
      <c r="J106" s="379">
        <v>8.52</v>
      </c>
      <c r="K106" s="379">
        <v>0.23</v>
      </c>
      <c r="L106" s="379">
        <v>0.31</v>
      </c>
      <c r="M106" s="379">
        <v>0.23</v>
      </c>
      <c r="N106" s="379">
        <v>0.24</v>
      </c>
    </row>
    <row r="107" spans="1:14">
      <c r="A107" s="290" t="s">
        <v>100</v>
      </c>
      <c r="B107" s="379">
        <v>11645.45</v>
      </c>
      <c r="C107" s="379">
        <v>1245.82</v>
      </c>
      <c r="D107" s="379">
        <v>823.54</v>
      </c>
      <c r="E107" s="379">
        <v>965.78</v>
      </c>
      <c r="F107" s="379">
        <v>9196.68</v>
      </c>
      <c r="G107" s="379">
        <v>-2.0699999999999998</v>
      </c>
      <c r="H107" s="379">
        <v>-23.26</v>
      </c>
      <c r="I107" s="379">
        <v>-22.48</v>
      </c>
      <c r="J107" s="379">
        <v>-3.55</v>
      </c>
      <c r="K107" s="379">
        <v>4.09</v>
      </c>
      <c r="L107" s="379">
        <v>3.16</v>
      </c>
      <c r="M107" s="379">
        <v>3.54</v>
      </c>
      <c r="N107" s="379">
        <v>3.67</v>
      </c>
    </row>
    <row r="108" spans="1:14">
      <c r="A108" s="290" t="s">
        <v>101</v>
      </c>
      <c r="B108" s="379">
        <v>10194.030000000001</v>
      </c>
      <c r="C108" s="379">
        <v>1114.1500000000001</v>
      </c>
      <c r="D108" s="379">
        <v>731.59</v>
      </c>
      <c r="E108" s="379">
        <v>874.06</v>
      </c>
      <c r="F108" s="379">
        <v>7779.16</v>
      </c>
      <c r="G108" s="379">
        <v>0.63</v>
      </c>
      <c r="H108" s="379">
        <v>-27.44</v>
      </c>
      <c r="I108" s="379">
        <v>-21.55</v>
      </c>
      <c r="J108" s="379">
        <v>-5.95</v>
      </c>
      <c r="K108" s="379">
        <v>3.58</v>
      </c>
      <c r="L108" s="379">
        <v>2.81</v>
      </c>
      <c r="M108" s="379">
        <v>3.2</v>
      </c>
      <c r="N108" s="379">
        <v>3.11</v>
      </c>
    </row>
    <row r="109" spans="1:14">
      <c r="A109" s="290" t="s">
        <v>102</v>
      </c>
      <c r="B109" s="379">
        <v>0</v>
      </c>
      <c r="C109" s="379">
        <v>0.01</v>
      </c>
      <c r="D109" s="379">
        <v>0</v>
      </c>
      <c r="E109" s="379">
        <v>0</v>
      </c>
      <c r="F109" s="379">
        <v>0</v>
      </c>
      <c r="G109" s="379">
        <v>0</v>
      </c>
      <c r="H109" s="379">
        <v>0</v>
      </c>
      <c r="I109" s="379">
        <v>-200</v>
      </c>
      <c r="J109" s="379">
        <v>0</v>
      </c>
      <c r="K109" s="379">
        <v>0</v>
      </c>
      <c r="L109" s="379">
        <v>0</v>
      </c>
      <c r="M109" s="379">
        <v>0</v>
      </c>
      <c r="N109" s="379">
        <v>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N37"/>
  <sheetViews>
    <sheetView workbookViewId="0">
      <selection sqref="A1:BK1"/>
    </sheetView>
  </sheetViews>
  <sheetFormatPr defaultColWidth="9" defaultRowHeight="19.8"/>
  <cols>
    <col min="1" max="1" width="8.25" customWidth="1"/>
    <col min="2" max="10" width="7.75" hidden="1" customWidth="1"/>
    <col min="11" max="11" width="9.625" hidden="1" customWidth="1"/>
    <col min="12" max="12" width="7.75" hidden="1" customWidth="1"/>
    <col min="13" max="13" width="8.75" hidden="1" customWidth="1"/>
    <col min="14" max="16" width="8.75" customWidth="1"/>
    <col min="17" max="17" width="0" hidden="1" customWidth="1"/>
    <col min="19" max="20" width="8.75" customWidth="1"/>
    <col min="21" max="21" width="8.75" hidden="1" customWidth="1"/>
    <col min="22" max="22" width="8.75" customWidth="1"/>
    <col min="23" max="23" width="1.375" customWidth="1"/>
    <col min="24" max="31" width="5.75" hidden="1" customWidth="1"/>
    <col min="32" max="32" width="7" hidden="1" customWidth="1"/>
    <col min="33" max="34" width="5.75" hidden="1" customWidth="1"/>
    <col min="35" max="37" width="7" hidden="1" customWidth="1"/>
    <col min="38" max="41" width="7" customWidth="1"/>
    <col min="42" max="42" width="7" hidden="1" customWidth="1"/>
    <col min="43" max="46" width="7" customWidth="1"/>
    <col min="47" max="47" width="1.375" customWidth="1"/>
    <col min="48" max="56" width="5.75" hidden="1" customWidth="1"/>
    <col min="57" max="57" width="7" hidden="1" customWidth="1"/>
    <col min="58" max="58" width="5.75" hidden="1" customWidth="1"/>
    <col min="59" max="59" width="6.375" hidden="1" customWidth="1"/>
    <col min="60" max="66" width="6.375" customWidth="1"/>
  </cols>
  <sheetData>
    <row r="1" spans="1:66" ht="26.4">
      <c r="A1" s="394" t="s">
        <v>141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394"/>
      <c r="AA1" s="394"/>
      <c r="AB1" s="394"/>
      <c r="AC1" s="394"/>
      <c r="AD1" s="394"/>
      <c r="AE1" s="394"/>
      <c r="AF1" s="394"/>
      <c r="AG1" s="394"/>
      <c r="AH1" s="394"/>
      <c r="AI1" s="394"/>
      <c r="AJ1" s="394"/>
      <c r="AK1" s="394"/>
      <c r="AL1" s="394"/>
      <c r="AM1" s="394"/>
      <c r="AN1" s="394"/>
      <c r="AO1" s="394"/>
      <c r="AP1" s="394"/>
      <c r="AQ1" s="394"/>
      <c r="AR1" s="394"/>
      <c r="AS1" s="394"/>
      <c r="AT1" s="394"/>
      <c r="AU1" s="394"/>
      <c r="AV1" s="394"/>
      <c r="AW1" s="394"/>
      <c r="AX1" s="394"/>
      <c r="AY1" s="394"/>
      <c r="AZ1" s="394"/>
      <c r="BA1" s="394"/>
      <c r="BB1" s="394"/>
      <c r="BC1" s="394"/>
      <c r="BD1" s="394"/>
      <c r="BE1" s="394"/>
      <c r="BF1" s="394"/>
      <c r="BG1" s="394"/>
      <c r="BH1" s="394"/>
      <c r="BI1" s="394"/>
      <c r="BJ1" s="394"/>
      <c r="BK1" s="394"/>
      <c r="BL1" s="298"/>
      <c r="BM1" s="298"/>
      <c r="BN1" s="298"/>
    </row>
    <row r="2" spans="1:66" ht="16.5" customHeight="1">
      <c r="A2" s="101" t="s">
        <v>142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X2" s="52" t="s">
        <v>1</v>
      </c>
      <c r="Y2" s="2"/>
      <c r="Z2" s="72" t="s">
        <v>1</v>
      </c>
      <c r="AA2" s="91"/>
      <c r="AB2" s="101" t="s">
        <v>1</v>
      </c>
      <c r="AC2" s="101" t="s">
        <v>1</v>
      </c>
      <c r="AD2" s="101"/>
      <c r="AE2" s="101"/>
      <c r="AF2" s="101" t="s">
        <v>1</v>
      </c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V2" s="2"/>
      <c r="AW2" s="52" t="s">
        <v>128</v>
      </c>
      <c r="AX2" s="52" t="s">
        <v>128</v>
      </c>
      <c r="AY2" s="72" t="s">
        <v>128</v>
      </c>
      <c r="AZ2" s="91" t="s">
        <v>128</v>
      </c>
      <c r="BA2" s="101" t="s">
        <v>128</v>
      </c>
      <c r="BB2" s="101" t="s">
        <v>128</v>
      </c>
      <c r="BC2" s="2"/>
      <c r="BD2" s="2"/>
      <c r="BE2" s="101" t="s">
        <v>128</v>
      </c>
      <c r="BF2" s="2"/>
      <c r="BG2" s="397" t="s">
        <v>128</v>
      </c>
      <c r="BH2" s="397"/>
      <c r="BI2" s="397"/>
      <c r="BJ2" s="397"/>
      <c r="BK2" s="397"/>
      <c r="BL2" s="397"/>
      <c r="BM2" s="397"/>
      <c r="BN2" s="397"/>
    </row>
    <row r="3" spans="1:66" ht="18" customHeight="1">
      <c r="B3" s="4"/>
      <c r="C3" s="4"/>
      <c r="D3" s="4"/>
      <c r="E3" s="4"/>
      <c r="F3" s="4"/>
      <c r="G3" s="4"/>
      <c r="H3" s="51"/>
      <c r="I3" s="51"/>
      <c r="J3" s="51"/>
      <c r="K3" s="51"/>
      <c r="L3" s="51"/>
      <c r="M3" s="51"/>
      <c r="V3" s="51" t="s">
        <v>143</v>
      </c>
      <c r="W3" s="51"/>
      <c r="X3" s="51"/>
      <c r="Y3" s="51"/>
      <c r="Z3" s="51"/>
      <c r="AB3" s="4"/>
      <c r="AC3" s="4"/>
      <c r="AD3" s="4"/>
      <c r="AE3" s="4"/>
      <c r="AF3" s="4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T3" s="51" t="s">
        <v>3</v>
      </c>
      <c r="AU3" s="51"/>
      <c r="AW3" s="4"/>
      <c r="AX3" s="4"/>
      <c r="AY3" s="4"/>
      <c r="AZ3" s="4"/>
      <c r="BA3" s="4"/>
      <c r="BB3" s="4"/>
      <c r="BC3" s="51"/>
      <c r="BD3" s="51"/>
      <c r="BE3" s="51"/>
      <c r="BF3" s="51"/>
      <c r="BG3" s="51"/>
      <c r="BH3" s="51"/>
      <c r="BM3" s="51" t="s">
        <v>3</v>
      </c>
    </row>
    <row r="4" spans="1:66" ht="17.55" customHeight="1">
      <c r="A4" s="50"/>
      <c r="B4" s="19">
        <v>2540</v>
      </c>
      <c r="C4" s="19">
        <v>2541</v>
      </c>
      <c r="D4" s="19">
        <v>2542</v>
      </c>
      <c r="E4" s="19">
        <v>2543</v>
      </c>
      <c r="F4" s="19">
        <v>2544</v>
      </c>
      <c r="G4" s="19">
        <v>2545</v>
      </c>
      <c r="H4" s="19">
        <v>2546</v>
      </c>
      <c r="I4" s="19">
        <v>2547</v>
      </c>
      <c r="J4" s="19">
        <v>2548</v>
      </c>
      <c r="K4" s="19">
        <v>2549</v>
      </c>
      <c r="L4" s="19" t="s">
        <v>144</v>
      </c>
      <c r="M4" s="19">
        <v>2550</v>
      </c>
      <c r="N4" s="19">
        <v>2551</v>
      </c>
      <c r="O4" s="19">
        <v>2552</v>
      </c>
      <c r="P4" s="19">
        <v>2553</v>
      </c>
      <c r="Q4" s="19" t="s">
        <v>145</v>
      </c>
      <c r="R4" s="19">
        <v>2554</v>
      </c>
      <c r="S4" s="19" t="s">
        <v>146</v>
      </c>
      <c r="T4" s="19" t="s">
        <v>147</v>
      </c>
      <c r="U4" s="19">
        <v>2554</v>
      </c>
      <c r="V4" s="19">
        <v>2555</v>
      </c>
      <c r="W4" s="46"/>
      <c r="X4" s="19">
        <v>2541</v>
      </c>
      <c r="Y4" s="19">
        <v>2542</v>
      </c>
      <c r="Z4" s="19">
        <v>2543</v>
      </c>
      <c r="AA4" s="19">
        <v>2544</v>
      </c>
      <c r="AB4" s="19">
        <v>2545</v>
      </c>
      <c r="AC4" s="19">
        <v>2546</v>
      </c>
      <c r="AD4" s="19">
        <v>2547</v>
      </c>
      <c r="AE4" s="19">
        <v>2548</v>
      </c>
      <c r="AF4" s="19">
        <v>2549</v>
      </c>
      <c r="AG4" s="19" t="s">
        <v>144</v>
      </c>
      <c r="AH4" s="240" t="s">
        <v>148</v>
      </c>
      <c r="AI4" s="240" t="s">
        <v>149</v>
      </c>
      <c r="AJ4" s="240" t="s">
        <v>150</v>
      </c>
      <c r="AK4" s="240" t="s">
        <v>151</v>
      </c>
      <c r="AL4" s="19">
        <v>2550</v>
      </c>
      <c r="AM4" s="19">
        <v>2551</v>
      </c>
      <c r="AN4" s="19">
        <v>2552</v>
      </c>
      <c r="AO4" s="19">
        <v>2553</v>
      </c>
      <c r="AP4" s="19" t="s">
        <v>145</v>
      </c>
      <c r="AQ4" s="19">
        <v>2554</v>
      </c>
      <c r="AR4" s="19" t="s">
        <v>146</v>
      </c>
      <c r="AS4" s="19" t="s">
        <v>147</v>
      </c>
      <c r="AT4" s="19">
        <v>2555</v>
      </c>
      <c r="AU4" s="46"/>
      <c r="AV4" s="19">
        <v>2540</v>
      </c>
      <c r="AW4" s="19">
        <v>2541</v>
      </c>
      <c r="AX4" s="19">
        <v>2542</v>
      </c>
      <c r="AY4" s="19">
        <v>2543</v>
      </c>
      <c r="AZ4" s="19">
        <v>2544</v>
      </c>
      <c r="BA4" s="19">
        <v>2545</v>
      </c>
      <c r="BB4" s="19">
        <v>2546</v>
      </c>
      <c r="BC4" s="19">
        <v>2547</v>
      </c>
      <c r="BD4" s="19">
        <v>2548</v>
      </c>
      <c r="BE4" s="19">
        <v>2549</v>
      </c>
      <c r="BF4" s="19" t="s">
        <v>152</v>
      </c>
      <c r="BG4" s="19">
        <v>2550</v>
      </c>
      <c r="BH4" s="19">
        <v>2551</v>
      </c>
      <c r="BI4" s="19">
        <v>2552</v>
      </c>
      <c r="BJ4" s="19">
        <v>2553</v>
      </c>
      <c r="BK4" s="256" t="s">
        <v>153</v>
      </c>
      <c r="BL4" s="256"/>
      <c r="BM4" s="19" t="s">
        <v>147</v>
      </c>
      <c r="BN4" s="19">
        <v>2555</v>
      </c>
    </row>
    <row r="5" spans="1:66" ht="17.55" customHeight="1">
      <c r="A5" s="45" t="s">
        <v>4</v>
      </c>
      <c r="B5" s="53">
        <v>4666.4399999999996</v>
      </c>
      <c r="C5" s="53">
        <v>4283.82</v>
      </c>
      <c r="D5" s="53">
        <v>4056.8</v>
      </c>
      <c r="E5" s="53">
        <v>5302.87</v>
      </c>
      <c r="F5" s="53" t="e">
        <f>+#REF!</f>
        <v>#REF!</v>
      </c>
      <c r="G5" s="53" t="e">
        <f>+#REF!</f>
        <v>#REF!</v>
      </c>
      <c r="H5" s="53" t="e">
        <f>+#REF!</f>
        <v>#REF!</v>
      </c>
      <c r="I5" s="53" t="e">
        <f>+#REF!</f>
        <v>#REF!</v>
      </c>
      <c r="J5" s="53" t="e">
        <f>+#REF!</f>
        <v>#REF!</v>
      </c>
      <c r="K5" s="53" t="e">
        <f>+#REF!</f>
        <v>#REF!</v>
      </c>
      <c r="L5" s="53" t="e">
        <f>($L$23*BF5)/100</f>
        <v>#REF!</v>
      </c>
      <c r="M5" s="53" t="e">
        <f>+#REF!</f>
        <v>#REF!</v>
      </c>
      <c r="N5" s="53" t="e">
        <f>+#REF!</f>
        <v>#REF!</v>
      </c>
      <c r="O5" s="53" t="e">
        <f>+#REF!</f>
        <v>#REF!</v>
      </c>
      <c r="P5" s="53" t="e">
        <f>+#REF!</f>
        <v>#REF!</v>
      </c>
      <c r="Q5" s="53" t="e">
        <f>(Q$23*BN5)/100</f>
        <v>#REF!</v>
      </c>
      <c r="R5" s="53" t="e">
        <f>+#REF!</f>
        <v>#REF!</v>
      </c>
      <c r="S5" s="53" t="e">
        <f>(S$23*BK5)/100</f>
        <v>#REF!</v>
      </c>
      <c r="T5" s="53" t="e">
        <f>+#REF!</f>
        <v>#REF!</v>
      </c>
      <c r="U5" s="53" t="e">
        <f>+#REF!</f>
        <v>#REF!</v>
      </c>
      <c r="V5" s="53"/>
      <c r="W5" s="46"/>
      <c r="X5" s="56">
        <f t="shared" ref="X5:X27" si="0">((C5/B5)-1)*100</f>
        <v>-8.1993982564867451</v>
      </c>
      <c r="Y5" s="56">
        <f t="shared" ref="Y5:Y27" si="1">((D5/C5)-1)*100</f>
        <v>-5.2994757015934262</v>
      </c>
      <c r="Z5" s="56">
        <f t="shared" ref="Z5:Z27" si="2">((E5/D5)-1)*100</f>
        <v>30.715588641293621</v>
      </c>
      <c r="AA5" s="56" t="e">
        <f t="shared" ref="AA5:AA27" si="3">((F5/E5)-1)*100</f>
        <v>#REF!</v>
      </c>
      <c r="AB5" s="56" t="e">
        <f t="shared" ref="AB5:AB27" si="4">((G5/F5)-1)*100</f>
        <v>#REF!</v>
      </c>
      <c r="AC5" s="56" t="e">
        <f t="shared" ref="AC5:AC27" si="5">((H5/G5)-1)*100</f>
        <v>#REF!</v>
      </c>
      <c r="AD5" s="56" t="e">
        <f t="shared" ref="AD5:AD27" si="6">((I5/H5)-1)*100</f>
        <v>#REF!</v>
      </c>
      <c r="AE5" s="56" t="e">
        <f t="shared" ref="AE5:AE27" si="7">((J5/I5)-1)*100</f>
        <v>#REF!</v>
      </c>
      <c r="AF5" s="56" t="e">
        <f t="shared" ref="AF5:AF27" si="8">((K5/J5)-1)*100</f>
        <v>#REF!</v>
      </c>
      <c r="AG5" s="56" t="e">
        <f t="shared" ref="AG5:AG27" si="9">((L5/K5)-1)*100</f>
        <v>#REF!</v>
      </c>
      <c r="AH5" s="236"/>
      <c r="AI5" s="236"/>
      <c r="AJ5" s="236"/>
      <c r="AK5" s="236"/>
      <c r="AL5" s="56" t="e">
        <f>((M5/K5)-1)*100</f>
        <v>#REF!</v>
      </c>
      <c r="AM5" s="56" t="e">
        <f t="shared" ref="AM5:AM22" si="10">((N5/M5)-1)*100</f>
        <v>#REF!</v>
      </c>
      <c r="AN5" s="56" t="e">
        <f t="shared" ref="AN5:AN22" si="11">((O5/N5)-1)*100</f>
        <v>#REF!</v>
      </c>
      <c r="AO5" s="56" t="e">
        <f t="shared" ref="AO5:AO22" si="12">((P5/O5)-1)*100</f>
        <v>#REF!</v>
      </c>
      <c r="AP5" s="56" t="e">
        <f t="shared" ref="AP5:AP22" si="13">((Q5/P5)-1)*100</f>
        <v>#REF!</v>
      </c>
      <c r="AQ5" s="56" t="e">
        <f t="shared" ref="AQ5:AQ27" si="14">((U5/P5)-1)*100</f>
        <v>#REF!</v>
      </c>
      <c r="AR5" s="56" t="e">
        <f t="shared" ref="AR5:AR22" si="15">((S5/P5)-1)*100</f>
        <v>#REF!</v>
      </c>
      <c r="AS5" s="56" t="e">
        <f t="shared" ref="AS5:AS23" si="16">((T5/P5)-1)*100</f>
        <v>#REF!</v>
      </c>
      <c r="AT5" s="56" t="e">
        <f t="shared" ref="AT5:AT23" si="17">((U5/P5)-1)*100</f>
        <v>#REF!</v>
      </c>
      <c r="AU5" s="56"/>
      <c r="AV5" s="56">
        <f t="shared" ref="AV5:AV25" si="18">+(B5/B$23)*100</f>
        <v>7.9994994355793301</v>
      </c>
      <c r="AW5" s="56">
        <f t="shared" ref="AW5:AW25" si="19">+(C5/C$23)*100</f>
        <v>7.861652591013371</v>
      </c>
      <c r="AX5" s="56">
        <f t="shared" ref="AX5:AX25" si="20">+(D5/D$23)*100</f>
        <v>6.9390362696693408</v>
      </c>
      <c r="AY5" s="56">
        <f t="shared" ref="AY5:AY25" si="21">+(E5/E$23)*100</f>
        <v>7.6164134789837563</v>
      </c>
      <c r="AZ5" s="56" t="e">
        <f t="shared" ref="AZ5:AZ25" si="22">+(F5/F$23)*100</f>
        <v>#REF!</v>
      </c>
      <c r="BA5" s="56" t="e">
        <f t="shared" ref="BA5:BA25" si="23">+(G5/G$23)*100</f>
        <v>#REF!</v>
      </c>
      <c r="BB5" s="56" t="e">
        <f t="shared" ref="BB5:BB25" si="24">+(H5/H$23)*100</f>
        <v>#REF!</v>
      </c>
      <c r="BC5" s="56" t="e">
        <f t="shared" ref="BC5:BC25" si="25">+(I5/I$23)*100</f>
        <v>#REF!</v>
      </c>
      <c r="BD5" s="56" t="e">
        <f t="shared" ref="BD5:BD25" si="26">+(J5/J$23)*100</f>
        <v>#REF!</v>
      </c>
      <c r="BE5" s="56" t="e">
        <f t="shared" ref="BE5:BE25" si="27">+(K5/K$23)*100</f>
        <v>#REF!</v>
      </c>
      <c r="BF5" s="57" t="e">
        <f>AVERAGE(BC5:BE5)</f>
        <v>#REF!</v>
      </c>
      <c r="BG5" s="56" t="e">
        <f t="shared" ref="BG5:BG23" si="28">+(M5/M$23)*100</f>
        <v>#REF!</v>
      </c>
      <c r="BH5" s="56" t="e">
        <f t="shared" ref="BH5:BH23" si="29">+(N5/N$23)*100</f>
        <v>#REF!</v>
      </c>
      <c r="BI5" s="56" t="e">
        <f t="shared" ref="BI5:BI23" si="30">+(O5/O$23)*100</f>
        <v>#REF!</v>
      </c>
      <c r="BJ5" s="56" t="e">
        <f t="shared" ref="BJ5:BJ23" si="31">+(P5/P$23)*100</f>
        <v>#REF!</v>
      </c>
      <c r="BK5" s="257" t="e">
        <f>AVERAGE(BH5,BI5,BJ5)</f>
        <v>#REF!</v>
      </c>
      <c r="BL5" s="257"/>
      <c r="BM5" s="56" t="e">
        <f t="shared" ref="BM5:BM23" si="32">+(T5/T$23)*100</f>
        <v>#REF!</v>
      </c>
      <c r="BN5" s="56" t="e">
        <f t="shared" ref="BN5:BN23" si="33">+(U5/U$23)*100</f>
        <v>#REF!</v>
      </c>
    </row>
    <row r="6" spans="1:66" ht="17.55" customHeight="1">
      <c r="A6" s="45" t="s">
        <v>5</v>
      </c>
      <c r="B6" s="53">
        <v>4353.1099999999997</v>
      </c>
      <c r="C6" s="53">
        <v>4488.3999999999996</v>
      </c>
      <c r="D6" s="53">
        <v>4238.6400000000003</v>
      </c>
      <c r="E6" s="53">
        <v>5406.06</v>
      </c>
      <c r="F6" s="53" t="e">
        <f>+#REF!</f>
        <v>#REF!</v>
      </c>
      <c r="G6" s="53" t="e">
        <f>+#REF!</f>
        <v>#REF!</v>
      </c>
      <c r="H6" s="53" t="e">
        <f>+#REF!</f>
        <v>#REF!</v>
      </c>
      <c r="I6" s="53" t="e">
        <f>+#REF!</f>
        <v>#REF!</v>
      </c>
      <c r="J6" s="53" t="e">
        <f>+#REF!</f>
        <v>#REF!</v>
      </c>
      <c r="K6" s="53" t="e">
        <f>+#REF!</f>
        <v>#REF!</v>
      </c>
      <c r="L6" s="53" t="e">
        <f>($L$23*BF6)/100</f>
        <v>#REF!</v>
      </c>
      <c r="M6" s="53" t="e">
        <f>+#REF!</f>
        <v>#REF!</v>
      </c>
      <c r="N6" s="53" t="e">
        <f>+#REF!</f>
        <v>#REF!</v>
      </c>
      <c r="O6" s="53" t="e">
        <f>+#REF!</f>
        <v>#REF!</v>
      </c>
      <c r="P6" s="53" t="e">
        <f>+#REF!</f>
        <v>#REF!</v>
      </c>
      <c r="Q6" s="53" t="e">
        <f>(Q$23*BN6)/100</f>
        <v>#REF!</v>
      </c>
      <c r="R6" s="53" t="e">
        <f>+#REF!</f>
        <v>#REF!</v>
      </c>
      <c r="S6" s="53" t="e">
        <f>(S$23*BK6)/100</f>
        <v>#REF!</v>
      </c>
      <c r="T6" s="53" t="e">
        <f>+#REF!</f>
        <v>#REF!</v>
      </c>
      <c r="U6" s="53" t="e">
        <f>+#REF!</f>
        <v>#REF!</v>
      </c>
      <c r="V6" s="53"/>
      <c r="W6" s="46"/>
      <c r="X6" s="56">
        <f t="shared" si="0"/>
        <v>3.1078929776642505</v>
      </c>
      <c r="Y6" s="56">
        <f t="shared" si="1"/>
        <v>-5.564566437928864</v>
      </c>
      <c r="Z6" s="56">
        <f t="shared" si="2"/>
        <v>27.542324896664972</v>
      </c>
      <c r="AA6" s="56" t="e">
        <f t="shared" si="3"/>
        <v>#REF!</v>
      </c>
      <c r="AB6" s="56" t="e">
        <f t="shared" si="4"/>
        <v>#REF!</v>
      </c>
      <c r="AC6" s="56" t="e">
        <f t="shared" si="5"/>
        <v>#REF!</v>
      </c>
      <c r="AD6" s="56" t="e">
        <f t="shared" si="6"/>
        <v>#REF!</v>
      </c>
      <c r="AE6" s="56" t="e">
        <f t="shared" si="7"/>
        <v>#REF!</v>
      </c>
      <c r="AF6" s="56" t="e">
        <f t="shared" si="8"/>
        <v>#REF!</v>
      </c>
      <c r="AG6" s="56" t="e">
        <f t="shared" si="9"/>
        <v>#REF!</v>
      </c>
      <c r="AH6" s="236"/>
      <c r="AI6" s="236"/>
      <c r="AJ6" s="236"/>
      <c r="AK6" s="236"/>
      <c r="AL6" s="56" t="e">
        <f t="shared" ref="AL6:AL27" si="34">((M6/K6)-1)*100</f>
        <v>#REF!</v>
      </c>
      <c r="AM6" s="56" t="e">
        <f t="shared" si="10"/>
        <v>#REF!</v>
      </c>
      <c r="AN6" s="56" t="e">
        <f t="shared" si="11"/>
        <v>#REF!</v>
      </c>
      <c r="AO6" s="56" t="e">
        <f t="shared" si="12"/>
        <v>#REF!</v>
      </c>
      <c r="AP6" s="56" t="e">
        <f t="shared" si="13"/>
        <v>#REF!</v>
      </c>
      <c r="AQ6" s="56" t="e">
        <f t="shared" si="14"/>
        <v>#REF!</v>
      </c>
      <c r="AR6" s="56" t="e">
        <f t="shared" si="15"/>
        <v>#REF!</v>
      </c>
      <c r="AS6" s="56" t="e">
        <f t="shared" si="16"/>
        <v>#REF!</v>
      </c>
      <c r="AT6" s="56" t="e">
        <f t="shared" si="17"/>
        <v>#REF!</v>
      </c>
      <c r="AU6" s="56"/>
      <c r="AV6" s="56">
        <f t="shared" si="18"/>
        <v>7.4623698125369096</v>
      </c>
      <c r="AW6" s="56">
        <f t="shared" si="19"/>
        <v>8.2370971444888941</v>
      </c>
      <c r="AX6" s="56">
        <f t="shared" si="20"/>
        <v>7.250068205006718</v>
      </c>
      <c r="AY6" s="56">
        <f t="shared" si="21"/>
        <v>7.7646233553141846</v>
      </c>
      <c r="AZ6" s="56" t="e">
        <f t="shared" si="22"/>
        <v>#REF!</v>
      </c>
      <c r="BA6" s="56" t="e">
        <f t="shared" si="23"/>
        <v>#REF!</v>
      </c>
      <c r="BB6" s="56" t="e">
        <f t="shared" si="24"/>
        <v>#REF!</v>
      </c>
      <c r="BC6" s="56" t="e">
        <f t="shared" si="25"/>
        <v>#REF!</v>
      </c>
      <c r="BD6" s="56" t="e">
        <f t="shared" si="26"/>
        <v>#REF!</v>
      </c>
      <c r="BE6" s="56" t="e">
        <f t="shared" si="27"/>
        <v>#REF!</v>
      </c>
      <c r="BF6" s="57" t="e">
        <f t="shared" ref="BF6:BF22" si="35">AVERAGE(BC6:BE6)</f>
        <v>#REF!</v>
      </c>
      <c r="BG6" s="56" t="e">
        <f t="shared" si="28"/>
        <v>#REF!</v>
      </c>
      <c r="BH6" s="56" t="e">
        <f t="shared" si="29"/>
        <v>#REF!</v>
      </c>
      <c r="BI6" s="56" t="e">
        <f t="shared" si="30"/>
        <v>#REF!</v>
      </c>
      <c r="BJ6" s="56" t="e">
        <f t="shared" si="31"/>
        <v>#REF!</v>
      </c>
      <c r="BK6" s="257" t="e">
        <f t="shared" ref="BK6:BK26" si="36">AVERAGE(BH6,BI6,BJ6)</f>
        <v>#REF!</v>
      </c>
      <c r="BL6" s="257"/>
      <c r="BM6" s="56" t="e">
        <f t="shared" si="32"/>
        <v>#REF!</v>
      </c>
      <c r="BN6" s="56" t="e">
        <f t="shared" si="33"/>
        <v>#REF!</v>
      </c>
    </row>
    <row r="7" spans="1:66" ht="17.55" customHeight="1">
      <c r="A7" s="45" t="s">
        <v>7</v>
      </c>
      <c r="B7" s="53">
        <v>5031.7</v>
      </c>
      <c r="C7" s="53">
        <v>4866.5200000000004</v>
      </c>
      <c r="D7" s="53">
        <v>4777.37</v>
      </c>
      <c r="E7" s="53">
        <v>5839.43</v>
      </c>
      <c r="F7" s="53" t="e">
        <f>+#REF!</f>
        <v>#REF!</v>
      </c>
      <c r="G7" s="53" t="e">
        <f>+#REF!</f>
        <v>#REF!</v>
      </c>
      <c r="H7" s="53" t="e">
        <f>+#REF!</f>
        <v>#REF!</v>
      </c>
      <c r="I7" s="53" t="e">
        <f>+#REF!</f>
        <v>#REF!</v>
      </c>
      <c r="J7" s="53" t="e">
        <f>+#REF!</f>
        <v>#REF!</v>
      </c>
      <c r="K7" s="53" t="e">
        <f>+#REF!</f>
        <v>#REF!</v>
      </c>
      <c r="L7" s="53" t="e">
        <f>($L$23*BF7)/100</f>
        <v>#REF!</v>
      </c>
      <c r="M7" s="53" t="e">
        <f>+#REF!</f>
        <v>#REF!</v>
      </c>
      <c r="N7" s="53" t="e">
        <f>+#REF!</f>
        <v>#REF!</v>
      </c>
      <c r="O7" s="53" t="e">
        <f>+#REF!</f>
        <v>#REF!</v>
      </c>
      <c r="P7" s="53" t="e">
        <f>+#REF!</f>
        <v>#REF!</v>
      </c>
      <c r="Q7" s="53" t="e">
        <f>(Q$23*BN7)/100</f>
        <v>#REF!</v>
      </c>
      <c r="R7" s="53" t="e">
        <f>+#REF!</f>
        <v>#REF!</v>
      </c>
      <c r="S7" s="53" t="e">
        <f>(S$23*BK7)/100</f>
        <v>#REF!</v>
      </c>
      <c r="T7" s="53" t="e">
        <f>+#REF!</f>
        <v>#REF!</v>
      </c>
      <c r="U7" s="53" t="e">
        <f>+#REF!</f>
        <v>#REF!</v>
      </c>
      <c r="V7" s="53"/>
      <c r="W7" s="71"/>
      <c r="X7" s="56">
        <f t="shared" si="0"/>
        <v>-3.2827871295983302</v>
      </c>
      <c r="Y7" s="56">
        <f t="shared" si="1"/>
        <v>-1.8319045231500186</v>
      </c>
      <c r="Z7" s="56">
        <f t="shared" si="2"/>
        <v>22.231060185834473</v>
      </c>
      <c r="AA7" s="56" t="e">
        <f t="shared" si="3"/>
        <v>#REF!</v>
      </c>
      <c r="AB7" s="56" t="e">
        <f t="shared" si="4"/>
        <v>#REF!</v>
      </c>
      <c r="AC7" s="56" t="e">
        <f t="shared" si="5"/>
        <v>#REF!</v>
      </c>
      <c r="AD7" s="56" t="e">
        <f t="shared" si="6"/>
        <v>#REF!</v>
      </c>
      <c r="AE7" s="56" t="e">
        <f t="shared" si="7"/>
        <v>#REF!</v>
      </c>
      <c r="AF7" s="56" t="e">
        <f t="shared" si="8"/>
        <v>#REF!</v>
      </c>
      <c r="AG7" s="56" t="e">
        <f t="shared" si="9"/>
        <v>#REF!</v>
      </c>
      <c r="AH7" s="236"/>
      <c r="AI7" s="236"/>
      <c r="AJ7" s="236"/>
      <c r="AK7" s="236"/>
      <c r="AL7" s="56" t="e">
        <f t="shared" si="34"/>
        <v>#REF!</v>
      </c>
      <c r="AM7" s="56" t="e">
        <f t="shared" si="10"/>
        <v>#REF!</v>
      </c>
      <c r="AN7" s="56" t="e">
        <f t="shared" si="11"/>
        <v>#REF!</v>
      </c>
      <c r="AO7" s="56" t="e">
        <f t="shared" si="12"/>
        <v>#REF!</v>
      </c>
      <c r="AP7" s="56" t="e">
        <f t="shared" si="13"/>
        <v>#REF!</v>
      </c>
      <c r="AQ7" s="56" t="e">
        <f t="shared" si="14"/>
        <v>#REF!</v>
      </c>
      <c r="AR7" s="56" t="e">
        <f t="shared" si="15"/>
        <v>#REF!</v>
      </c>
      <c r="AS7" s="56" t="e">
        <f t="shared" si="16"/>
        <v>#REF!</v>
      </c>
      <c r="AT7" s="56" t="e">
        <f t="shared" si="17"/>
        <v>#REF!</v>
      </c>
      <c r="AU7" s="56"/>
      <c r="AV7" s="56">
        <f t="shared" si="18"/>
        <v>8.6256506694620558</v>
      </c>
      <c r="AW7" s="56">
        <f t="shared" si="19"/>
        <v>8.9310217439617912</v>
      </c>
      <c r="AX7" s="56">
        <f t="shared" si="20"/>
        <v>8.171549917084949</v>
      </c>
      <c r="AY7" s="56">
        <f t="shared" si="21"/>
        <v>8.3870646200231427</v>
      </c>
      <c r="AZ7" s="56" t="e">
        <f t="shared" si="22"/>
        <v>#REF!</v>
      </c>
      <c r="BA7" s="56" t="e">
        <f t="shared" si="23"/>
        <v>#REF!</v>
      </c>
      <c r="BB7" s="56" t="e">
        <f t="shared" si="24"/>
        <v>#REF!</v>
      </c>
      <c r="BC7" s="56" t="e">
        <f t="shared" si="25"/>
        <v>#REF!</v>
      </c>
      <c r="BD7" s="56" t="e">
        <f t="shared" si="26"/>
        <v>#REF!</v>
      </c>
      <c r="BE7" s="56" t="e">
        <f t="shared" si="27"/>
        <v>#REF!</v>
      </c>
      <c r="BF7" s="57" t="e">
        <f t="shared" si="35"/>
        <v>#REF!</v>
      </c>
      <c r="BG7" s="56" t="e">
        <f t="shared" si="28"/>
        <v>#REF!</v>
      </c>
      <c r="BH7" s="56" t="e">
        <f t="shared" si="29"/>
        <v>#REF!</v>
      </c>
      <c r="BI7" s="56" t="e">
        <f t="shared" si="30"/>
        <v>#REF!</v>
      </c>
      <c r="BJ7" s="56" t="e">
        <f t="shared" si="31"/>
        <v>#REF!</v>
      </c>
      <c r="BK7" s="257" t="e">
        <f t="shared" si="36"/>
        <v>#REF!</v>
      </c>
      <c r="BL7" s="257"/>
      <c r="BM7" s="56" t="e">
        <f t="shared" si="32"/>
        <v>#REF!</v>
      </c>
      <c r="BN7" s="56" t="e">
        <f t="shared" si="33"/>
        <v>#REF!</v>
      </c>
    </row>
    <row r="8" spans="1:66" ht="17.55" customHeight="1">
      <c r="A8" s="86" t="s">
        <v>8</v>
      </c>
      <c r="B8" s="87">
        <v>14051.25</v>
      </c>
      <c r="C8" s="87">
        <v>13638.74</v>
      </c>
      <c r="D8" s="87">
        <v>13072.81</v>
      </c>
      <c r="E8" s="70">
        <f t="shared" ref="E8:O8" si="37">+E5+E6+E7</f>
        <v>16548.36</v>
      </c>
      <c r="F8" s="70" t="e">
        <f t="shared" si="37"/>
        <v>#REF!</v>
      </c>
      <c r="G8" s="70" t="e">
        <f t="shared" si="37"/>
        <v>#REF!</v>
      </c>
      <c r="H8" s="70" t="e">
        <f t="shared" si="37"/>
        <v>#REF!</v>
      </c>
      <c r="I8" s="70" t="e">
        <f t="shared" si="37"/>
        <v>#REF!</v>
      </c>
      <c r="J8" s="87" t="e">
        <f t="shared" si="37"/>
        <v>#REF!</v>
      </c>
      <c r="K8" s="87" t="e">
        <f t="shared" si="37"/>
        <v>#REF!</v>
      </c>
      <c r="L8" s="87" t="e">
        <f t="shared" si="37"/>
        <v>#REF!</v>
      </c>
      <c r="M8" s="87" t="e">
        <f t="shared" si="37"/>
        <v>#REF!</v>
      </c>
      <c r="N8" s="87" t="e">
        <f t="shared" si="37"/>
        <v>#REF!</v>
      </c>
      <c r="O8" s="87" t="e">
        <f t="shared" si="37"/>
        <v>#REF!</v>
      </c>
      <c r="P8" s="87" t="e">
        <f>+P5+P6+P7</f>
        <v>#REF!</v>
      </c>
      <c r="Q8" s="87" t="e">
        <f>+Q5+Q6+Q7</f>
        <v>#REF!</v>
      </c>
      <c r="R8" s="87" t="e">
        <f>+R5+R6+R7</f>
        <v>#REF!</v>
      </c>
      <c r="S8" s="87" t="e">
        <f>+S5+S6+S7</f>
        <v>#REF!</v>
      </c>
      <c r="T8" s="87" t="e">
        <f>+U8</f>
        <v>#REF!</v>
      </c>
      <c r="U8" s="87" t="e">
        <f>+U5+U6+U7</f>
        <v>#REF!</v>
      </c>
      <c r="V8" s="87"/>
      <c r="W8" s="48"/>
      <c r="X8" s="88">
        <f t="shared" si="0"/>
        <v>-2.9357530468819504</v>
      </c>
      <c r="Y8" s="88">
        <f t="shared" si="1"/>
        <v>-4.1494302259592946</v>
      </c>
      <c r="Z8" s="88">
        <f t="shared" si="2"/>
        <v>26.586097403695153</v>
      </c>
      <c r="AA8" s="88" t="e">
        <f t="shared" si="3"/>
        <v>#REF!</v>
      </c>
      <c r="AB8" s="88" t="e">
        <f t="shared" si="4"/>
        <v>#REF!</v>
      </c>
      <c r="AC8" s="88" t="e">
        <f t="shared" si="5"/>
        <v>#REF!</v>
      </c>
      <c r="AD8" s="88" t="e">
        <f t="shared" si="6"/>
        <v>#REF!</v>
      </c>
      <c r="AE8" s="88" t="e">
        <f t="shared" si="7"/>
        <v>#REF!</v>
      </c>
      <c r="AF8" s="88" t="e">
        <f t="shared" si="8"/>
        <v>#REF!</v>
      </c>
      <c r="AG8" s="88" t="e">
        <f t="shared" si="9"/>
        <v>#REF!</v>
      </c>
      <c r="AH8" s="237"/>
      <c r="AI8" s="237"/>
      <c r="AJ8" s="237"/>
      <c r="AK8" s="237"/>
      <c r="AL8" s="88" t="e">
        <f t="shared" si="34"/>
        <v>#REF!</v>
      </c>
      <c r="AM8" s="325" t="e">
        <f t="shared" si="10"/>
        <v>#REF!</v>
      </c>
      <c r="AN8" s="325" t="e">
        <f t="shared" si="11"/>
        <v>#REF!</v>
      </c>
      <c r="AO8" s="325" t="e">
        <f t="shared" si="12"/>
        <v>#REF!</v>
      </c>
      <c r="AP8" s="325" t="e">
        <f t="shared" si="13"/>
        <v>#REF!</v>
      </c>
      <c r="AQ8" s="88" t="e">
        <f t="shared" si="14"/>
        <v>#REF!</v>
      </c>
      <c r="AR8" s="325" t="e">
        <f t="shared" si="15"/>
        <v>#REF!</v>
      </c>
      <c r="AS8" s="325" t="e">
        <f t="shared" si="16"/>
        <v>#REF!</v>
      </c>
      <c r="AT8" s="325" t="e">
        <f t="shared" si="17"/>
        <v>#REF!</v>
      </c>
      <c r="AU8" s="88"/>
      <c r="AV8" s="88">
        <f t="shared" si="18"/>
        <v>24.087519917578295</v>
      </c>
      <c r="AW8" s="88">
        <f t="shared" si="19"/>
        <v>25.02977147946406</v>
      </c>
      <c r="AX8" s="88">
        <f t="shared" si="20"/>
        <v>22.360654391761006</v>
      </c>
      <c r="AY8" s="88">
        <f t="shared" si="21"/>
        <v>23.768101454321087</v>
      </c>
      <c r="AZ8" s="88" t="e">
        <f t="shared" si="22"/>
        <v>#REF!</v>
      </c>
      <c r="BA8" s="88" t="e">
        <f t="shared" si="23"/>
        <v>#REF!</v>
      </c>
      <c r="BB8" s="88" t="e">
        <f t="shared" si="24"/>
        <v>#REF!</v>
      </c>
      <c r="BC8" s="88" t="e">
        <f t="shared" si="25"/>
        <v>#REF!</v>
      </c>
      <c r="BD8" s="88" t="e">
        <f t="shared" si="26"/>
        <v>#REF!</v>
      </c>
      <c r="BE8" s="88" t="e">
        <f t="shared" si="27"/>
        <v>#REF!</v>
      </c>
      <c r="BF8" s="325" t="e">
        <f t="shared" si="35"/>
        <v>#REF!</v>
      </c>
      <c r="BG8" s="325" t="e">
        <f t="shared" si="28"/>
        <v>#REF!</v>
      </c>
      <c r="BH8" s="325" t="e">
        <f t="shared" si="29"/>
        <v>#REF!</v>
      </c>
      <c r="BI8" s="325" t="e">
        <f t="shared" si="30"/>
        <v>#REF!</v>
      </c>
      <c r="BJ8" s="325" t="e">
        <f t="shared" si="31"/>
        <v>#REF!</v>
      </c>
      <c r="BK8" s="237" t="e">
        <f t="shared" si="36"/>
        <v>#REF!</v>
      </c>
      <c r="BL8" s="237"/>
      <c r="BM8" s="325" t="e">
        <f t="shared" si="32"/>
        <v>#REF!</v>
      </c>
      <c r="BN8" s="325" t="e">
        <f t="shared" si="33"/>
        <v>#REF!</v>
      </c>
    </row>
    <row r="9" spans="1:66" ht="17.55" customHeight="1">
      <c r="A9" s="45" t="s">
        <v>10</v>
      </c>
      <c r="B9" s="53">
        <v>4367.45</v>
      </c>
      <c r="C9" s="53">
        <v>4336.22</v>
      </c>
      <c r="D9" s="53">
        <v>4538.9799999999996</v>
      </c>
      <c r="E9" s="53">
        <v>5248.8</v>
      </c>
      <c r="F9" s="53" t="e">
        <f>+#REF!</f>
        <v>#REF!</v>
      </c>
      <c r="G9" s="53" t="e">
        <f>+#REF!</f>
        <v>#REF!</v>
      </c>
      <c r="H9" s="53" t="e">
        <f>+#REF!</f>
        <v>#REF!</v>
      </c>
      <c r="I9" s="53" t="e">
        <f>+#REF!</f>
        <v>#REF!</v>
      </c>
      <c r="J9" s="53" t="e">
        <f>+#REF!</f>
        <v>#REF!</v>
      </c>
      <c r="K9" s="53" t="e">
        <f>+#REF!</f>
        <v>#REF!</v>
      </c>
      <c r="L9" s="53" t="e">
        <f>($L$23*BF9)/100</f>
        <v>#REF!</v>
      </c>
      <c r="M9" s="53" t="e">
        <f>+#REF!</f>
        <v>#REF!</v>
      </c>
      <c r="N9" s="53" t="e">
        <f>+#REF!</f>
        <v>#REF!</v>
      </c>
      <c r="O9" s="53" t="e">
        <f>+#REF!</f>
        <v>#REF!</v>
      </c>
      <c r="P9" s="53" t="e">
        <f>+#REF!</f>
        <v>#REF!</v>
      </c>
      <c r="Q9" s="53" t="e">
        <f>(Q$23*BN9)/100</f>
        <v>#REF!</v>
      </c>
      <c r="R9" s="53" t="e">
        <f>+#REF!</f>
        <v>#REF!</v>
      </c>
      <c r="S9" s="53" t="e">
        <f>(S$23*BK9)/100</f>
        <v>#REF!</v>
      </c>
      <c r="T9" s="53" t="e">
        <f>+#REF!</f>
        <v>#REF!</v>
      </c>
      <c r="U9" s="53" t="e">
        <f>+#REF!</f>
        <v>#REF!</v>
      </c>
      <c r="V9" s="53"/>
      <c r="W9" s="71"/>
      <c r="X9" s="56">
        <f t="shared" si="0"/>
        <v>-0.71506256511235655</v>
      </c>
      <c r="Y9" s="56">
        <f t="shared" si="1"/>
        <v>4.6759620129974699</v>
      </c>
      <c r="Z9" s="56">
        <f t="shared" si="2"/>
        <v>15.638315216193966</v>
      </c>
      <c r="AA9" s="56" t="e">
        <f t="shared" si="3"/>
        <v>#REF!</v>
      </c>
      <c r="AB9" s="56" t="e">
        <f t="shared" si="4"/>
        <v>#REF!</v>
      </c>
      <c r="AC9" s="56" t="e">
        <f t="shared" si="5"/>
        <v>#REF!</v>
      </c>
      <c r="AD9" s="56" t="e">
        <f t="shared" si="6"/>
        <v>#REF!</v>
      </c>
      <c r="AE9" s="56" t="e">
        <f t="shared" si="7"/>
        <v>#REF!</v>
      </c>
      <c r="AF9" s="56" t="e">
        <f t="shared" si="8"/>
        <v>#REF!</v>
      </c>
      <c r="AG9" s="56" t="e">
        <f t="shared" si="9"/>
        <v>#REF!</v>
      </c>
      <c r="AH9" s="236"/>
      <c r="AI9" s="236"/>
      <c r="AJ9" s="236"/>
      <c r="AK9" s="236"/>
      <c r="AL9" s="56" t="e">
        <f t="shared" si="34"/>
        <v>#REF!</v>
      </c>
      <c r="AM9" s="56" t="e">
        <f t="shared" si="10"/>
        <v>#REF!</v>
      </c>
      <c r="AN9" s="56" t="e">
        <f t="shared" si="11"/>
        <v>#REF!</v>
      </c>
      <c r="AO9" s="56" t="e">
        <f t="shared" si="12"/>
        <v>#REF!</v>
      </c>
      <c r="AP9" s="56" t="e">
        <f t="shared" si="13"/>
        <v>#REF!</v>
      </c>
      <c r="AQ9" s="56" t="e">
        <f t="shared" si="14"/>
        <v>#REF!</v>
      </c>
      <c r="AR9" s="56" t="e">
        <f t="shared" si="15"/>
        <v>#REF!</v>
      </c>
      <c r="AS9" s="56" t="e">
        <f t="shared" si="16"/>
        <v>#REF!</v>
      </c>
      <c r="AT9" s="57" t="e">
        <f t="shared" si="17"/>
        <v>#REF!</v>
      </c>
      <c r="AU9" s="56"/>
      <c r="AV9" s="56">
        <f t="shared" si="18"/>
        <v>7.4869523255245847</v>
      </c>
      <c r="AW9" s="56">
        <f t="shared" si="19"/>
        <v>7.957816901317984</v>
      </c>
      <c r="AX9" s="56">
        <f t="shared" si="20"/>
        <v>7.7637908813113148</v>
      </c>
      <c r="AY9" s="56">
        <f t="shared" si="21"/>
        <v>7.5387537443855779</v>
      </c>
      <c r="AZ9" s="56" t="e">
        <f t="shared" si="22"/>
        <v>#REF!</v>
      </c>
      <c r="BA9" s="56" t="e">
        <f t="shared" si="23"/>
        <v>#REF!</v>
      </c>
      <c r="BB9" s="56" t="e">
        <f t="shared" si="24"/>
        <v>#REF!</v>
      </c>
      <c r="BC9" s="56" t="e">
        <f t="shared" si="25"/>
        <v>#REF!</v>
      </c>
      <c r="BD9" s="56" t="e">
        <f t="shared" si="26"/>
        <v>#REF!</v>
      </c>
      <c r="BE9" s="56" t="e">
        <f t="shared" si="27"/>
        <v>#REF!</v>
      </c>
      <c r="BF9" s="57" t="e">
        <f t="shared" si="35"/>
        <v>#REF!</v>
      </c>
      <c r="BG9" s="56" t="e">
        <f t="shared" si="28"/>
        <v>#REF!</v>
      </c>
      <c r="BH9" s="56" t="e">
        <f t="shared" si="29"/>
        <v>#REF!</v>
      </c>
      <c r="BI9" s="56" t="e">
        <f t="shared" si="30"/>
        <v>#REF!</v>
      </c>
      <c r="BJ9" s="56" t="e">
        <f t="shared" si="31"/>
        <v>#REF!</v>
      </c>
      <c r="BK9" s="257" t="e">
        <f t="shared" si="36"/>
        <v>#REF!</v>
      </c>
      <c r="BL9" s="257"/>
      <c r="BM9" s="56" t="e">
        <f t="shared" si="32"/>
        <v>#REF!</v>
      </c>
      <c r="BN9" s="56" t="e">
        <f t="shared" si="33"/>
        <v>#REF!</v>
      </c>
    </row>
    <row r="10" spans="1:66" ht="17.55" customHeight="1">
      <c r="A10" s="45" t="s">
        <v>12</v>
      </c>
      <c r="B10" s="53">
        <v>4907.5</v>
      </c>
      <c r="C10" s="53">
        <v>4320.21</v>
      </c>
      <c r="D10" s="53">
        <v>4674.41</v>
      </c>
      <c r="E10" s="53">
        <v>5303.15</v>
      </c>
      <c r="F10" s="53" t="e">
        <f>+#REF!</f>
        <v>#REF!</v>
      </c>
      <c r="G10" s="53" t="e">
        <f>+#REF!</f>
        <v>#REF!</v>
      </c>
      <c r="H10" s="53" t="e">
        <f>+#REF!</f>
        <v>#REF!</v>
      </c>
      <c r="I10" s="53" t="e">
        <f>+#REF!</f>
        <v>#REF!</v>
      </c>
      <c r="J10" s="53" t="e">
        <f>+#REF!</f>
        <v>#REF!</v>
      </c>
      <c r="K10" s="53" t="e">
        <f>+#REF!</f>
        <v>#REF!</v>
      </c>
      <c r="L10" s="53" t="e">
        <f>($L$23*BF10)/100</f>
        <v>#REF!</v>
      </c>
      <c r="M10" s="53" t="e">
        <f>+#REF!</f>
        <v>#REF!</v>
      </c>
      <c r="N10" s="53" t="e">
        <f>+#REF!</f>
        <v>#REF!</v>
      </c>
      <c r="O10" s="53" t="e">
        <f>+#REF!</f>
        <v>#REF!</v>
      </c>
      <c r="P10" s="53" t="e">
        <f>+#REF!</f>
        <v>#REF!</v>
      </c>
      <c r="Q10" s="53" t="e">
        <f>(Q$23*BN10)/100</f>
        <v>#REF!</v>
      </c>
      <c r="R10" s="53" t="e">
        <f>+#REF!</f>
        <v>#REF!</v>
      </c>
      <c r="S10" s="53" t="e">
        <f>(S$23*BK10)/100</f>
        <v>#REF!</v>
      </c>
      <c r="T10" s="53" t="e">
        <f>+#REF!</f>
        <v>#REF!</v>
      </c>
      <c r="U10" s="53" t="e">
        <f>+#REF!</f>
        <v>#REF!</v>
      </c>
      <c r="V10" s="53"/>
      <c r="W10" s="71"/>
      <c r="X10" s="56">
        <f t="shared" si="0"/>
        <v>-11.967193071828831</v>
      </c>
      <c r="Y10" s="56">
        <f t="shared" si="1"/>
        <v>8.1986755273470546</v>
      </c>
      <c r="Z10" s="56">
        <f t="shared" si="2"/>
        <v>13.450681476378822</v>
      </c>
      <c r="AA10" s="56" t="e">
        <f t="shared" si="3"/>
        <v>#REF!</v>
      </c>
      <c r="AB10" s="56" t="e">
        <f t="shared" si="4"/>
        <v>#REF!</v>
      </c>
      <c r="AC10" s="56" t="e">
        <f t="shared" si="5"/>
        <v>#REF!</v>
      </c>
      <c r="AD10" s="56" t="e">
        <f t="shared" si="6"/>
        <v>#REF!</v>
      </c>
      <c r="AE10" s="56" t="e">
        <f t="shared" si="7"/>
        <v>#REF!</v>
      </c>
      <c r="AF10" s="56" t="e">
        <f t="shared" si="8"/>
        <v>#REF!</v>
      </c>
      <c r="AG10" s="56" t="e">
        <f t="shared" si="9"/>
        <v>#REF!</v>
      </c>
      <c r="AH10" s="236"/>
      <c r="AI10" s="236"/>
      <c r="AJ10" s="236"/>
      <c r="AK10" s="236"/>
      <c r="AL10" s="56" t="e">
        <f t="shared" si="34"/>
        <v>#REF!</v>
      </c>
      <c r="AM10" s="56" t="e">
        <f t="shared" si="10"/>
        <v>#REF!</v>
      </c>
      <c r="AN10" s="56" t="e">
        <f t="shared" si="11"/>
        <v>#REF!</v>
      </c>
      <c r="AO10" s="56" t="e">
        <f t="shared" si="12"/>
        <v>#REF!</v>
      </c>
      <c r="AP10" s="56" t="e">
        <f t="shared" si="13"/>
        <v>#REF!</v>
      </c>
      <c r="AQ10" s="56" t="e">
        <f t="shared" si="14"/>
        <v>#REF!</v>
      </c>
      <c r="AR10" s="56" t="e">
        <f t="shared" si="15"/>
        <v>#REF!</v>
      </c>
      <c r="AS10" s="56" t="e">
        <f t="shared" si="16"/>
        <v>#REF!</v>
      </c>
      <c r="AT10" s="57" t="e">
        <f t="shared" si="17"/>
        <v>#REF!</v>
      </c>
      <c r="AU10" s="56"/>
      <c r="AV10" s="56">
        <f t="shared" si="18"/>
        <v>8.412739364506038</v>
      </c>
      <c r="AW10" s="56">
        <f t="shared" si="19"/>
        <v>7.9284354011657534</v>
      </c>
      <c r="AX10" s="56">
        <f t="shared" si="20"/>
        <v>7.9954398859458351</v>
      </c>
      <c r="AY10" s="56">
        <f t="shared" si="21"/>
        <v>7.6168156377721328</v>
      </c>
      <c r="AZ10" s="56" t="e">
        <f t="shared" si="22"/>
        <v>#REF!</v>
      </c>
      <c r="BA10" s="56" t="e">
        <f t="shared" si="23"/>
        <v>#REF!</v>
      </c>
      <c r="BB10" s="56" t="e">
        <f t="shared" si="24"/>
        <v>#REF!</v>
      </c>
      <c r="BC10" s="56" t="e">
        <f t="shared" si="25"/>
        <v>#REF!</v>
      </c>
      <c r="BD10" s="56" t="e">
        <f t="shared" si="26"/>
        <v>#REF!</v>
      </c>
      <c r="BE10" s="56" t="e">
        <f t="shared" si="27"/>
        <v>#REF!</v>
      </c>
      <c r="BF10" s="57" t="e">
        <f t="shared" si="35"/>
        <v>#REF!</v>
      </c>
      <c r="BG10" s="56" t="e">
        <f t="shared" si="28"/>
        <v>#REF!</v>
      </c>
      <c r="BH10" s="56" t="e">
        <f t="shared" si="29"/>
        <v>#REF!</v>
      </c>
      <c r="BI10" s="56" t="e">
        <f t="shared" si="30"/>
        <v>#REF!</v>
      </c>
      <c r="BJ10" s="56" t="e">
        <f t="shared" si="31"/>
        <v>#REF!</v>
      </c>
      <c r="BK10" s="257" t="e">
        <f t="shared" si="36"/>
        <v>#REF!</v>
      </c>
      <c r="BL10" s="257"/>
      <c r="BM10" s="56" t="e">
        <f t="shared" si="32"/>
        <v>#REF!</v>
      </c>
      <c r="BN10" s="56" t="e">
        <f t="shared" si="33"/>
        <v>#REF!</v>
      </c>
    </row>
    <row r="11" spans="1:66" ht="17.55" customHeight="1">
      <c r="A11" s="45" t="s">
        <v>14</v>
      </c>
      <c r="B11" s="53">
        <v>4763.72</v>
      </c>
      <c r="C11" s="53">
        <v>4622.34</v>
      </c>
      <c r="D11" s="53">
        <v>4810.3999999999996</v>
      </c>
      <c r="E11" s="53">
        <v>5574.4</v>
      </c>
      <c r="F11" s="53" t="e">
        <f>+#REF!</f>
        <v>#REF!</v>
      </c>
      <c r="G11" s="53" t="e">
        <f>+#REF!</f>
        <v>#REF!</v>
      </c>
      <c r="H11" s="53" t="e">
        <f>+#REF!</f>
        <v>#REF!</v>
      </c>
      <c r="I11" s="53" t="e">
        <f>+#REF!</f>
        <v>#REF!</v>
      </c>
      <c r="J11" s="53" t="e">
        <f>+#REF!</f>
        <v>#REF!</v>
      </c>
      <c r="K11" s="53" t="e">
        <f>+#REF!</f>
        <v>#REF!</v>
      </c>
      <c r="L11" s="53" t="e">
        <f>($L$23*BF11)/100</f>
        <v>#REF!</v>
      </c>
      <c r="M11" s="53" t="e">
        <f>+#REF!</f>
        <v>#REF!</v>
      </c>
      <c r="N11" s="53" t="e">
        <f>+#REF!</f>
        <v>#REF!</v>
      </c>
      <c r="O11" s="53" t="e">
        <f>+#REF!</f>
        <v>#REF!</v>
      </c>
      <c r="P11" s="53" t="e">
        <f>+#REF!</f>
        <v>#REF!</v>
      </c>
      <c r="Q11" s="53" t="e">
        <f>(Q$23*BN11)/100</f>
        <v>#REF!</v>
      </c>
      <c r="R11" s="53" t="e">
        <f>+#REF!</f>
        <v>#REF!</v>
      </c>
      <c r="S11" s="53" t="e">
        <f>(S$23*BK11)/100</f>
        <v>#REF!</v>
      </c>
      <c r="T11" s="53" t="e">
        <f>+#REF!</f>
        <v>#REF!</v>
      </c>
      <c r="U11" s="53" t="e">
        <f>+#REF!</f>
        <v>#REF!</v>
      </c>
      <c r="V11" s="53"/>
      <c r="W11" s="71"/>
      <c r="X11" s="56">
        <f t="shared" si="0"/>
        <v>-2.9678486560922979</v>
      </c>
      <c r="Y11" s="56">
        <f t="shared" si="1"/>
        <v>4.0685021006676259</v>
      </c>
      <c r="Z11" s="56">
        <f t="shared" si="2"/>
        <v>15.882255113919852</v>
      </c>
      <c r="AA11" s="56" t="e">
        <f t="shared" si="3"/>
        <v>#REF!</v>
      </c>
      <c r="AB11" s="56" t="e">
        <f t="shared" si="4"/>
        <v>#REF!</v>
      </c>
      <c r="AC11" s="57" t="e">
        <f t="shared" si="5"/>
        <v>#REF!</v>
      </c>
      <c r="AD11" s="56" t="e">
        <f t="shared" si="6"/>
        <v>#REF!</v>
      </c>
      <c r="AE11" s="56" t="e">
        <f t="shared" si="7"/>
        <v>#REF!</v>
      </c>
      <c r="AF11" s="56" t="e">
        <f t="shared" si="8"/>
        <v>#REF!</v>
      </c>
      <c r="AG11" s="56" t="e">
        <f t="shared" si="9"/>
        <v>#REF!</v>
      </c>
      <c r="AH11" s="236"/>
      <c r="AI11" s="236"/>
      <c r="AJ11" s="236"/>
      <c r="AK11" s="236"/>
      <c r="AL11" s="56" t="e">
        <f t="shared" si="34"/>
        <v>#REF!</v>
      </c>
      <c r="AM11" s="56" t="e">
        <f t="shared" si="10"/>
        <v>#REF!</v>
      </c>
      <c r="AN11" s="56" t="e">
        <f t="shared" si="11"/>
        <v>#REF!</v>
      </c>
      <c r="AO11" s="56" t="e">
        <f t="shared" si="12"/>
        <v>#REF!</v>
      </c>
      <c r="AP11" s="56" t="e">
        <f t="shared" si="13"/>
        <v>#REF!</v>
      </c>
      <c r="AQ11" s="56" t="e">
        <f t="shared" si="14"/>
        <v>#REF!</v>
      </c>
      <c r="AR11" s="56" t="e">
        <f t="shared" si="15"/>
        <v>#REF!</v>
      </c>
      <c r="AS11" s="56" t="e">
        <f t="shared" si="16"/>
        <v>#REF!</v>
      </c>
      <c r="AT11" s="57" t="e">
        <f t="shared" si="17"/>
        <v>#REF!</v>
      </c>
      <c r="AU11" s="56"/>
      <c r="AV11" s="56">
        <f t="shared" si="18"/>
        <v>8.1662628151777295</v>
      </c>
      <c r="AW11" s="56">
        <f t="shared" si="19"/>
        <v>8.4829033987293467</v>
      </c>
      <c r="AX11" s="56">
        <f t="shared" si="20"/>
        <v>8.2280467539975817</v>
      </c>
      <c r="AY11" s="56">
        <f t="shared" si="21"/>
        <v>8.0064069640113846</v>
      </c>
      <c r="AZ11" s="56" t="e">
        <f t="shared" si="22"/>
        <v>#REF!</v>
      </c>
      <c r="BA11" s="56" t="e">
        <f t="shared" si="23"/>
        <v>#REF!</v>
      </c>
      <c r="BB11" s="57" t="e">
        <f t="shared" si="24"/>
        <v>#REF!</v>
      </c>
      <c r="BC11" s="56" t="e">
        <f t="shared" si="25"/>
        <v>#REF!</v>
      </c>
      <c r="BD11" s="56" t="e">
        <f t="shared" si="26"/>
        <v>#REF!</v>
      </c>
      <c r="BE11" s="56" t="e">
        <f t="shared" si="27"/>
        <v>#REF!</v>
      </c>
      <c r="BF11" s="57" t="e">
        <f t="shared" si="35"/>
        <v>#REF!</v>
      </c>
      <c r="BG11" s="56" t="e">
        <f t="shared" si="28"/>
        <v>#REF!</v>
      </c>
      <c r="BH11" s="56" t="e">
        <f t="shared" si="29"/>
        <v>#REF!</v>
      </c>
      <c r="BI11" s="56" t="e">
        <f t="shared" si="30"/>
        <v>#REF!</v>
      </c>
      <c r="BJ11" s="56" t="e">
        <f t="shared" si="31"/>
        <v>#REF!</v>
      </c>
      <c r="BK11" s="257" t="e">
        <f t="shared" si="36"/>
        <v>#REF!</v>
      </c>
      <c r="BL11" s="257"/>
      <c r="BM11" s="56" t="e">
        <f t="shared" si="32"/>
        <v>#REF!</v>
      </c>
      <c r="BN11" s="56" t="e">
        <f t="shared" si="33"/>
        <v>#REF!</v>
      </c>
    </row>
    <row r="12" spans="1:66" ht="17.55" customHeight="1">
      <c r="A12" s="86" t="s">
        <v>15</v>
      </c>
      <c r="B12" s="87">
        <v>14038.67</v>
      </c>
      <c r="C12" s="87">
        <v>13278.77</v>
      </c>
      <c r="D12" s="87">
        <v>14023.79</v>
      </c>
      <c r="E12" s="70">
        <f t="shared" ref="E12:U12" si="38">+E9+E10+E11</f>
        <v>16126.35</v>
      </c>
      <c r="F12" s="70" t="e">
        <f t="shared" si="38"/>
        <v>#REF!</v>
      </c>
      <c r="G12" s="70" t="e">
        <f t="shared" si="38"/>
        <v>#REF!</v>
      </c>
      <c r="H12" s="70" t="e">
        <f t="shared" si="38"/>
        <v>#REF!</v>
      </c>
      <c r="I12" s="70" t="e">
        <f t="shared" si="38"/>
        <v>#REF!</v>
      </c>
      <c r="J12" s="87" t="e">
        <f t="shared" si="38"/>
        <v>#REF!</v>
      </c>
      <c r="K12" s="87" t="e">
        <f t="shared" si="38"/>
        <v>#REF!</v>
      </c>
      <c r="L12" s="87" t="e">
        <f t="shared" si="38"/>
        <v>#REF!</v>
      </c>
      <c r="M12" s="87" t="e">
        <f t="shared" si="38"/>
        <v>#REF!</v>
      </c>
      <c r="N12" s="87" t="e">
        <f t="shared" si="38"/>
        <v>#REF!</v>
      </c>
      <c r="O12" s="87" t="e">
        <f t="shared" si="38"/>
        <v>#REF!</v>
      </c>
      <c r="P12" s="87" t="e">
        <f t="shared" si="38"/>
        <v>#REF!</v>
      </c>
      <c r="Q12" s="87" t="e">
        <f t="shared" si="38"/>
        <v>#REF!</v>
      </c>
      <c r="R12" s="87" t="e">
        <f t="shared" ref="R12" si="39">+R9+R10+R11</f>
        <v>#REF!</v>
      </c>
      <c r="S12" s="87" t="e">
        <f t="shared" si="38"/>
        <v>#REF!</v>
      </c>
      <c r="T12" s="87" t="e">
        <f t="shared" si="38"/>
        <v>#REF!</v>
      </c>
      <c r="U12" s="87" t="e">
        <f t="shared" si="38"/>
        <v>#REF!</v>
      </c>
      <c r="V12" s="87"/>
      <c r="W12" s="48"/>
      <c r="X12" s="88">
        <f t="shared" si="0"/>
        <v>-5.4129059234243719</v>
      </c>
      <c r="Y12" s="88">
        <f t="shared" si="1"/>
        <v>5.6106100188496377</v>
      </c>
      <c r="Z12" s="88">
        <f t="shared" si="2"/>
        <v>14.992808648731891</v>
      </c>
      <c r="AA12" s="88" t="e">
        <f t="shared" si="3"/>
        <v>#REF!</v>
      </c>
      <c r="AB12" s="88" t="e">
        <f t="shared" si="4"/>
        <v>#REF!</v>
      </c>
      <c r="AC12" s="325" t="e">
        <f t="shared" si="5"/>
        <v>#REF!</v>
      </c>
      <c r="AD12" s="88" t="e">
        <f t="shared" si="6"/>
        <v>#REF!</v>
      </c>
      <c r="AE12" s="88" t="e">
        <f t="shared" si="7"/>
        <v>#REF!</v>
      </c>
      <c r="AF12" s="88" t="e">
        <f t="shared" si="8"/>
        <v>#REF!</v>
      </c>
      <c r="AG12" s="88" t="e">
        <f t="shared" si="9"/>
        <v>#REF!</v>
      </c>
      <c r="AH12" s="237"/>
      <c r="AI12" s="237"/>
      <c r="AJ12" s="237"/>
      <c r="AK12" s="237"/>
      <c r="AL12" s="88" t="e">
        <f t="shared" si="34"/>
        <v>#REF!</v>
      </c>
      <c r="AM12" s="325" t="e">
        <f t="shared" si="10"/>
        <v>#REF!</v>
      </c>
      <c r="AN12" s="325" t="e">
        <f t="shared" si="11"/>
        <v>#REF!</v>
      </c>
      <c r="AO12" s="325" t="e">
        <f t="shared" si="12"/>
        <v>#REF!</v>
      </c>
      <c r="AP12" s="325" t="e">
        <f t="shared" si="13"/>
        <v>#REF!</v>
      </c>
      <c r="AQ12" s="88" t="e">
        <f t="shared" si="14"/>
        <v>#REF!</v>
      </c>
      <c r="AR12" s="325" t="e">
        <f t="shared" si="15"/>
        <v>#REF!</v>
      </c>
      <c r="AS12" s="325" t="e">
        <f t="shared" si="16"/>
        <v>#REF!</v>
      </c>
      <c r="AT12" s="325" t="e">
        <f t="shared" si="17"/>
        <v>#REF!</v>
      </c>
      <c r="AU12" s="88"/>
      <c r="AV12" s="88">
        <f t="shared" si="18"/>
        <v>24.065954505208357</v>
      </c>
      <c r="AW12" s="88">
        <f t="shared" si="19"/>
        <v>24.369155701213085</v>
      </c>
      <c r="AX12" s="88">
        <f t="shared" si="20"/>
        <v>23.987277521254736</v>
      </c>
      <c r="AY12" s="88">
        <f t="shared" si="21"/>
        <v>23.161976346169098</v>
      </c>
      <c r="AZ12" s="88" t="e">
        <f t="shared" si="22"/>
        <v>#REF!</v>
      </c>
      <c r="BA12" s="88" t="e">
        <f t="shared" si="23"/>
        <v>#REF!</v>
      </c>
      <c r="BB12" s="325" t="e">
        <f t="shared" si="24"/>
        <v>#REF!</v>
      </c>
      <c r="BC12" s="88" t="e">
        <f t="shared" si="25"/>
        <v>#REF!</v>
      </c>
      <c r="BD12" s="88" t="e">
        <f t="shared" si="26"/>
        <v>#REF!</v>
      </c>
      <c r="BE12" s="88" t="e">
        <f t="shared" si="27"/>
        <v>#REF!</v>
      </c>
      <c r="BF12" s="325" t="e">
        <f t="shared" si="35"/>
        <v>#REF!</v>
      </c>
      <c r="BG12" s="325" t="e">
        <f t="shared" si="28"/>
        <v>#REF!</v>
      </c>
      <c r="BH12" s="325" t="e">
        <f t="shared" si="29"/>
        <v>#REF!</v>
      </c>
      <c r="BI12" s="325" t="e">
        <f t="shared" si="30"/>
        <v>#REF!</v>
      </c>
      <c r="BJ12" s="325" t="e">
        <f t="shared" si="31"/>
        <v>#REF!</v>
      </c>
      <c r="BK12" s="237" t="e">
        <f t="shared" si="36"/>
        <v>#REF!</v>
      </c>
      <c r="BL12" s="237"/>
      <c r="BM12" s="325" t="e">
        <f t="shared" si="32"/>
        <v>#REF!</v>
      </c>
      <c r="BN12" s="325" t="e">
        <f t="shared" si="33"/>
        <v>#REF!</v>
      </c>
    </row>
    <row r="13" spans="1:66" ht="17.55" customHeight="1">
      <c r="A13" s="86" t="s">
        <v>16</v>
      </c>
      <c r="B13" s="87">
        <v>28089.919999999998</v>
      </c>
      <c r="C13" s="87">
        <v>26917.51</v>
      </c>
      <c r="D13" s="87">
        <v>27096.6</v>
      </c>
      <c r="E13" s="87">
        <f t="shared" ref="E13:U13" si="40">+E12+E8</f>
        <v>32674.71</v>
      </c>
      <c r="F13" s="87" t="e">
        <f t="shared" si="40"/>
        <v>#REF!</v>
      </c>
      <c r="G13" s="87" t="e">
        <f t="shared" si="40"/>
        <v>#REF!</v>
      </c>
      <c r="H13" s="87" t="e">
        <f t="shared" si="40"/>
        <v>#REF!</v>
      </c>
      <c r="I13" s="87" t="e">
        <f t="shared" si="40"/>
        <v>#REF!</v>
      </c>
      <c r="J13" s="87" t="e">
        <f t="shared" si="40"/>
        <v>#REF!</v>
      </c>
      <c r="K13" s="87" t="e">
        <f t="shared" si="40"/>
        <v>#REF!</v>
      </c>
      <c r="L13" s="87" t="e">
        <f t="shared" si="40"/>
        <v>#REF!</v>
      </c>
      <c r="M13" s="87" t="e">
        <f t="shared" si="40"/>
        <v>#REF!</v>
      </c>
      <c r="N13" s="87" t="e">
        <f t="shared" si="40"/>
        <v>#REF!</v>
      </c>
      <c r="O13" s="87" t="e">
        <f t="shared" si="40"/>
        <v>#REF!</v>
      </c>
      <c r="P13" s="87" t="e">
        <f t="shared" si="40"/>
        <v>#REF!</v>
      </c>
      <c r="Q13" s="87" t="e">
        <f t="shared" si="40"/>
        <v>#REF!</v>
      </c>
      <c r="R13" s="87" t="e">
        <f t="shared" ref="R13" si="41">+R12+R8</f>
        <v>#REF!</v>
      </c>
      <c r="S13" s="87" t="e">
        <f t="shared" si="40"/>
        <v>#REF!</v>
      </c>
      <c r="T13" s="87" t="e">
        <f t="shared" si="40"/>
        <v>#REF!</v>
      </c>
      <c r="U13" s="87" t="e">
        <f t="shared" si="40"/>
        <v>#REF!</v>
      </c>
      <c r="V13" s="87"/>
      <c r="W13" s="48"/>
      <c r="X13" s="88">
        <f t="shared" si="0"/>
        <v>-4.1737747918114358</v>
      </c>
      <c r="Y13" s="88">
        <f t="shared" si="1"/>
        <v>0.66532899959914626</v>
      </c>
      <c r="Z13" s="88">
        <f t="shared" si="2"/>
        <v>20.586014481521666</v>
      </c>
      <c r="AA13" s="88" t="e">
        <f t="shared" si="3"/>
        <v>#REF!</v>
      </c>
      <c r="AB13" s="88" t="e">
        <f t="shared" si="4"/>
        <v>#REF!</v>
      </c>
      <c r="AC13" s="325" t="e">
        <f t="shared" si="5"/>
        <v>#REF!</v>
      </c>
      <c r="AD13" s="88" t="e">
        <f t="shared" si="6"/>
        <v>#REF!</v>
      </c>
      <c r="AE13" s="88" t="e">
        <f t="shared" si="7"/>
        <v>#REF!</v>
      </c>
      <c r="AF13" s="88" t="e">
        <f t="shared" si="8"/>
        <v>#REF!</v>
      </c>
      <c r="AG13" s="88" t="e">
        <f t="shared" si="9"/>
        <v>#REF!</v>
      </c>
      <c r="AH13" s="237"/>
      <c r="AI13" s="237"/>
      <c r="AJ13" s="237"/>
      <c r="AK13" s="237"/>
      <c r="AL13" s="88" t="e">
        <f t="shared" si="34"/>
        <v>#REF!</v>
      </c>
      <c r="AM13" s="325" t="e">
        <f t="shared" si="10"/>
        <v>#REF!</v>
      </c>
      <c r="AN13" s="325" t="e">
        <f t="shared" si="11"/>
        <v>#REF!</v>
      </c>
      <c r="AO13" s="325" t="e">
        <f t="shared" si="12"/>
        <v>#REF!</v>
      </c>
      <c r="AP13" s="325" t="e">
        <f t="shared" si="13"/>
        <v>#REF!</v>
      </c>
      <c r="AQ13" s="88" t="e">
        <f t="shared" si="14"/>
        <v>#REF!</v>
      </c>
      <c r="AR13" s="325" t="e">
        <f t="shared" si="15"/>
        <v>#REF!</v>
      </c>
      <c r="AS13" s="325" t="e">
        <f t="shared" si="16"/>
        <v>#REF!</v>
      </c>
      <c r="AT13" s="325" t="e">
        <f t="shared" si="17"/>
        <v>#REF!</v>
      </c>
      <c r="AU13" s="88"/>
      <c r="AV13" s="88">
        <f t="shared" si="18"/>
        <v>48.153474422786644</v>
      </c>
      <c r="AW13" s="88">
        <f t="shared" si="19"/>
        <v>49.398927180677141</v>
      </c>
      <c r="AX13" s="88">
        <f t="shared" si="20"/>
        <v>46.347931913015742</v>
      </c>
      <c r="AY13" s="88">
        <f t="shared" si="21"/>
        <v>46.930077800490174</v>
      </c>
      <c r="AZ13" s="88" t="e">
        <f t="shared" si="22"/>
        <v>#REF!</v>
      </c>
      <c r="BA13" s="88" t="e">
        <f t="shared" si="23"/>
        <v>#REF!</v>
      </c>
      <c r="BB13" s="325" t="e">
        <f t="shared" si="24"/>
        <v>#REF!</v>
      </c>
      <c r="BC13" s="88" t="e">
        <f t="shared" si="25"/>
        <v>#REF!</v>
      </c>
      <c r="BD13" s="88" t="e">
        <f t="shared" si="26"/>
        <v>#REF!</v>
      </c>
      <c r="BE13" s="88" t="e">
        <f t="shared" si="27"/>
        <v>#REF!</v>
      </c>
      <c r="BF13" s="325" t="e">
        <f t="shared" si="35"/>
        <v>#REF!</v>
      </c>
      <c r="BG13" s="325" t="e">
        <f t="shared" si="28"/>
        <v>#REF!</v>
      </c>
      <c r="BH13" s="325" t="e">
        <f t="shared" si="29"/>
        <v>#REF!</v>
      </c>
      <c r="BI13" s="325" t="e">
        <f t="shared" si="30"/>
        <v>#REF!</v>
      </c>
      <c r="BJ13" s="325" t="e">
        <f t="shared" si="31"/>
        <v>#REF!</v>
      </c>
      <c r="BK13" s="237" t="e">
        <f t="shared" si="36"/>
        <v>#REF!</v>
      </c>
      <c r="BL13" s="237"/>
      <c r="BM13" s="325" t="e">
        <f t="shared" si="32"/>
        <v>#REF!</v>
      </c>
      <c r="BN13" s="325" t="e">
        <f t="shared" si="33"/>
        <v>#REF!</v>
      </c>
    </row>
    <row r="14" spans="1:66" ht="17.55" customHeight="1">
      <c r="A14" s="45" t="s">
        <v>17</v>
      </c>
      <c r="B14" s="53">
        <v>4881.54</v>
      </c>
      <c r="C14" s="53">
        <v>4686.3</v>
      </c>
      <c r="D14" s="53">
        <v>5056.12</v>
      </c>
      <c r="E14" s="53">
        <v>6135.21</v>
      </c>
      <c r="F14" s="53" t="e">
        <f>+#REF!</f>
        <v>#REF!</v>
      </c>
      <c r="G14" s="53" t="e">
        <f>+#REF!</f>
        <v>#REF!</v>
      </c>
      <c r="H14" s="53" t="e">
        <f>+#REF!</f>
        <v>#REF!</v>
      </c>
      <c r="I14" s="53" t="e">
        <f>+#REF!</f>
        <v>#REF!</v>
      </c>
      <c r="J14" s="53" t="e">
        <f>+#REF!</f>
        <v>#REF!</v>
      </c>
      <c r="K14" s="53" t="e">
        <f>+#REF!</f>
        <v>#REF!</v>
      </c>
      <c r="L14" s="53" t="e">
        <f>($L$23*BF14)/100</f>
        <v>#REF!</v>
      </c>
      <c r="M14" s="53" t="e">
        <f>+#REF!</f>
        <v>#REF!</v>
      </c>
      <c r="N14" s="53" t="e">
        <f>+#REF!</f>
        <v>#REF!</v>
      </c>
      <c r="O14" s="53" t="e">
        <f>+#REF!</f>
        <v>#REF!</v>
      </c>
      <c r="P14" s="53" t="e">
        <f>+#REF!</f>
        <v>#REF!</v>
      </c>
      <c r="Q14" s="53" t="e">
        <f>(Q$23*BN14)/100</f>
        <v>#REF!</v>
      </c>
      <c r="R14" s="53" t="e">
        <f>+#REF!</f>
        <v>#REF!</v>
      </c>
      <c r="S14" s="53" t="e">
        <f>(S$23*BK14)/100</f>
        <v>#REF!</v>
      </c>
      <c r="T14" s="53" t="e">
        <f>+#REF!</f>
        <v>#REF!</v>
      </c>
      <c r="U14" s="53" t="e">
        <f>+#REF!</f>
        <v>#REF!</v>
      </c>
      <c r="V14" s="53"/>
      <c r="W14" s="71"/>
      <c r="X14" s="56">
        <f t="shared" si="0"/>
        <v>-3.9995575166853037</v>
      </c>
      <c r="Y14" s="56">
        <f t="shared" si="1"/>
        <v>7.8915135608048859</v>
      </c>
      <c r="Z14" s="56">
        <f t="shared" si="2"/>
        <v>21.342254535098061</v>
      </c>
      <c r="AA14" s="56" t="e">
        <f t="shared" si="3"/>
        <v>#REF!</v>
      </c>
      <c r="AB14" s="56" t="e">
        <f t="shared" si="4"/>
        <v>#REF!</v>
      </c>
      <c r="AC14" s="57" t="e">
        <f t="shared" si="5"/>
        <v>#REF!</v>
      </c>
      <c r="AD14" s="56" t="e">
        <f t="shared" si="6"/>
        <v>#REF!</v>
      </c>
      <c r="AE14" s="56" t="e">
        <f t="shared" si="7"/>
        <v>#REF!</v>
      </c>
      <c r="AF14" s="56" t="e">
        <f t="shared" si="8"/>
        <v>#REF!</v>
      </c>
      <c r="AG14" s="56" t="e">
        <f t="shared" si="9"/>
        <v>#REF!</v>
      </c>
      <c r="AH14" s="236"/>
      <c r="AI14" s="236"/>
      <c r="AJ14" s="236"/>
      <c r="AK14" s="236"/>
      <c r="AL14" s="56" t="e">
        <f t="shared" si="34"/>
        <v>#REF!</v>
      </c>
      <c r="AM14" s="56" t="e">
        <f t="shared" si="10"/>
        <v>#REF!</v>
      </c>
      <c r="AN14" s="57" t="e">
        <f t="shared" si="11"/>
        <v>#REF!</v>
      </c>
      <c r="AO14" s="56" t="e">
        <f t="shared" si="12"/>
        <v>#REF!</v>
      </c>
      <c r="AP14" s="56" t="e">
        <f t="shared" si="13"/>
        <v>#REF!</v>
      </c>
      <c r="AQ14" s="56" t="e">
        <f t="shared" si="14"/>
        <v>#REF!</v>
      </c>
      <c r="AR14" s="56" t="e">
        <f t="shared" si="15"/>
        <v>#REF!</v>
      </c>
      <c r="AS14" s="56" t="e">
        <f t="shared" si="16"/>
        <v>#REF!</v>
      </c>
      <c r="AT14" s="57" t="e">
        <f t="shared" si="17"/>
        <v>#REF!</v>
      </c>
      <c r="AU14" s="56"/>
      <c r="AV14" s="56">
        <f t="shared" si="18"/>
        <v>8.3682371303944603</v>
      </c>
      <c r="AW14" s="56">
        <f t="shared" si="19"/>
        <v>8.6002825835973429</v>
      </c>
      <c r="AX14" s="56">
        <f t="shared" si="20"/>
        <v>8.6483435377145899</v>
      </c>
      <c r="AY14" s="56">
        <f t="shared" si="21"/>
        <v>8.8118879286869074</v>
      </c>
      <c r="AZ14" s="56" t="e">
        <f t="shared" si="22"/>
        <v>#REF!</v>
      </c>
      <c r="BA14" s="56" t="e">
        <f t="shared" si="23"/>
        <v>#REF!</v>
      </c>
      <c r="BB14" s="57" t="e">
        <f t="shared" si="24"/>
        <v>#REF!</v>
      </c>
      <c r="BC14" s="56" t="e">
        <f t="shared" si="25"/>
        <v>#REF!</v>
      </c>
      <c r="BD14" s="56" t="e">
        <f t="shared" si="26"/>
        <v>#REF!</v>
      </c>
      <c r="BE14" s="56" t="e">
        <f t="shared" si="27"/>
        <v>#REF!</v>
      </c>
      <c r="BF14" s="57" t="e">
        <f t="shared" si="35"/>
        <v>#REF!</v>
      </c>
      <c r="BG14" s="56" t="e">
        <f t="shared" si="28"/>
        <v>#REF!</v>
      </c>
      <c r="BH14" s="56" t="e">
        <f t="shared" si="29"/>
        <v>#REF!</v>
      </c>
      <c r="BI14" s="56" t="e">
        <f t="shared" si="30"/>
        <v>#REF!</v>
      </c>
      <c r="BJ14" s="56" t="e">
        <f t="shared" si="31"/>
        <v>#REF!</v>
      </c>
      <c r="BK14" s="257" t="e">
        <f t="shared" si="36"/>
        <v>#REF!</v>
      </c>
      <c r="BL14" s="257"/>
      <c r="BM14" s="56" t="e">
        <f t="shared" si="32"/>
        <v>#REF!</v>
      </c>
      <c r="BN14" s="56" t="e">
        <f t="shared" si="33"/>
        <v>#REF!</v>
      </c>
    </row>
    <row r="15" spans="1:66" ht="17.55" customHeight="1">
      <c r="A15" s="45" t="s">
        <v>20</v>
      </c>
      <c r="B15" s="53">
        <v>4954.97</v>
      </c>
      <c r="C15" s="53">
        <v>4346.53</v>
      </c>
      <c r="D15" s="53">
        <v>4983.12</v>
      </c>
      <c r="E15" s="53">
        <v>6279.37</v>
      </c>
      <c r="F15" s="53" t="e">
        <f>+#REF!</f>
        <v>#REF!</v>
      </c>
      <c r="G15" s="53" t="e">
        <f>+#REF!</f>
        <v>#REF!</v>
      </c>
      <c r="H15" s="53" t="e">
        <f>+#REF!</f>
        <v>#REF!</v>
      </c>
      <c r="I15" s="53" t="e">
        <f>+#REF!</f>
        <v>#REF!</v>
      </c>
      <c r="J15" s="53" t="e">
        <f>+#REF!</f>
        <v>#REF!</v>
      </c>
      <c r="K15" s="53" t="e">
        <f>+#REF!</f>
        <v>#REF!</v>
      </c>
      <c r="L15" s="53" t="e">
        <f>($L$23*BF15)/100</f>
        <v>#REF!</v>
      </c>
      <c r="M15" s="53" t="e">
        <f>+#REF!</f>
        <v>#REF!</v>
      </c>
      <c r="N15" s="53" t="e">
        <f>+#REF!</f>
        <v>#REF!</v>
      </c>
      <c r="O15" s="53" t="e">
        <f>+#REF!</f>
        <v>#REF!</v>
      </c>
      <c r="P15" s="53" t="e">
        <f>+#REF!</f>
        <v>#REF!</v>
      </c>
      <c r="Q15" s="53" t="e">
        <f>(Q$23*BN15)/100</f>
        <v>#REF!</v>
      </c>
      <c r="R15" s="53" t="e">
        <f>+#REF!</f>
        <v>#REF!</v>
      </c>
      <c r="S15" s="53" t="e">
        <f>(S$23*BK15)/100</f>
        <v>#REF!</v>
      </c>
      <c r="T15" s="53" t="e">
        <f>+#REF!</f>
        <v>#REF!</v>
      </c>
      <c r="U15" s="53" t="e">
        <f>+#REF!</f>
        <v>#REF!</v>
      </c>
      <c r="V15" s="53"/>
      <c r="W15" s="71"/>
      <c r="X15" s="56">
        <f t="shared" si="0"/>
        <v>-12.279388169857752</v>
      </c>
      <c r="Y15" s="56">
        <f t="shared" si="1"/>
        <v>14.645935953507738</v>
      </c>
      <c r="Z15" s="56">
        <f t="shared" si="2"/>
        <v>26.012819277882127</v>
      </c>
      <c r="AA15" s="56" t="e">
        <f t="shared" si="3"/>
        <v>#REF!</v>
      </c>
      <c r="AB15" s="56" t="e">
        <f t="shared" si="4"/>
        <v>#REF!</v>
      </c>
      <c r="AC15" s="57" t="e">
        <f t="shared" si="5"/>
        <v>#REF!</v>
      </c>
      <c r="AD15" s="56" t="e">
        <f t="shared" si="6"/>
        <v>#REF!</v>
      </c>
      <c r="AE15" s="56" t="e">
        <f t="shared" si="7"/>
        <v>#REF!</v>
      </c>
      <c r="AF15" s="56" t="e">
        <f t="shared" si="8"/>
        <v>#REF!</v>
      </c>
      <c r="AG15" s="56" t="e">
        <f t="shared" si="9"/>
        <v>#REF!</v>
      </c>
      <c r="AH15" s="236"/>
      <c r="AI15" s="236"/>
      <c r="AJ15" s="236"/>
      <c r="AK15" s="236"/>
      <c r="AL15" s="56" t="e">
        <f t="shared" si="34"/>
        <v>#REF!</v>
      </c>
      <c r="AM15" s="56" t="e">
        <f t="shared" si="10"/>
        <v>#REF!</v>
      </c>
      <c r="AN15" s="57" t="e">
        <f t="shared" si="11"/>
        <v>#REF!</v>
      </c>
      <c r="AO15" s="56" t="e">
        <f t="shared" si="12"/>
        <v>#REF!</v>
      </c>
      <c r="AP15" s="56" t="e">
        <f t="shared" si="13"/>
        <v>#REF!</v>
      </c>
      <c r="AQ15" s="56" t="e">
        <f t="shared" si="14"/>
        <v>#REF!</v>
      </c>
      <c r="AR15" s="56" t="e">
        <f t="shared" si="15"/>
        <v>#REF!</v>
      </c>
      <c r="AS15" s="56" t="e">
        <f t="shared" si="16"/>
        <v>#REF!</v>
      </c>
      <c r="AT15" s="57" t="e">
        <f t="shared" si="17"/>
        <v>#REF!</v>
      </c>
      <c r="AU15" s="56"/>
      <c r="AV15" s="56">
        <f t="shared" si="18"/>
        <v>8.4941153680991324</v>
      </c>
      <c r="AW15" s="56">
        <f t="shared" si="19"/>
        <v>7.9767377799294437</v>
      </c>
      <c r="AX15" s="56">
        <f t="shared" si="20"/>
        <v>8.5234791993972312</v>
      </c>
      <c r="AY15" s="56">
        <f t="shared" si="21"/>
        <v>9.0189422534450649</v>
      </c>
      <c r="AZ15" s="56" t="e">
        <f t="shared" si="22"/>
        <v>#REF!</v>
      </c>
      <c r="BA15" s="56" t="e">
        <f t="shared" si="23"/>
        <v>#REF!</v>
      </c>
      <c r="BB15" s="57" t="e">
        <f t="shared" si="24"/>
        <v>#REF!</v>
      </c>
      <c r="BC15" s="56" t="e">
        <f t="shared" si="25"/>
        <v>#REF!</v>
      </c>
      <c r="BD15" s="56" t="e">
        <f t="shared" si="26"/>
        <v>#REF!</v>
      </c>
      <c r="BE15" s="56" t="e">
        <f t="shared" si="27"/>
        <v>#REF!</v>
      </c>
      <c r="BF15" s="57" t="e">
        <f t="shared" si="35"/>
        <v>#REF!</v>
      </c>
      <c r="BG15" s="56" t="e">
        <f t="shared" si="28"/>
        <v>#REF!</v>
      </c>
      <c r="BH15" s="56" t="e">
        <f t="shared" si="29"/>
        <v>#REF!</v>
      </c>
      <c r="BI15" s="56" t="e">
        <f t="shared" si="30"/>
        <v>#REF!</v>
      </c>
      <c r="BJ15" s="56" t="e">
        <f t="shared" si="31"/>
        <v>#REF!</v>
      </c>
      <c r="BK15" s="257" t="e">
        <f t="shared" si="36"/>
        <v>#REF!</v>
      </c>
      <c r="BL15" s="257"/>
      <c r="BM15" s="56" t="e">
        <f t="shared" si="32"/>
        <v>#REF!</v>
      </c>
      <c r="BN15" s="56" t="e">
        <f t="shared" si="33"/>
        <v>#REF!</v>
      </c>
    </row>
    <row r="16" spans="1:66" ht="17.55" customHeight="1">
      <c r="A16" s="45" t="s">
        <v>22</v>
      </c>
      <c r="B16" s="53">
        <v>5139.1000000000004</v>
      </c>
      <c r="C16" s="53">
        <v>4675.63</v>
      </c>
      <c r="D16" s="53">
        <v>5161.04</v>
      </c>
      <c r="E16" s="53">
        <v>6089.38</v>
      </c>
      <c r="F16" s="53" t="e">
        <f>+#REF!</f>
        <v>#REF!</v>
      </c>
      <c r="G16" s="53" t="e">
        <f>+#REF!</f>
        <v>#REF!</v>
      </c>
      <c r="H16" s="53" t="e">
        <f>+#REF!</f>
        <v>#REF!</v>
      </c>
      <c r="I16" s="53" t="e">
        <f>+#REF!</f>
        <v>#REF!</v>
      </c>
      <c r="J16" s="53" t="e">
        <f>+#REF!</f>
        <v>#REF!</v>
      </c>
      <c r="K16" s="53" t="e">
        <f>+#REF!</f>
        <v>#REF!</v>
      </c>
      <c r="L16" s="53" t="e">
        <f>($L$23*BF16)/100</f>
        <v>#REF!</v>
      </c>
      <c r="M16" s="53" t="e">
        <f>+#REF!</f>
        <v>#REF!</v>
      </c>
      <c r="N16" s="53" t="e">
        <f>+#REF!</f>
        <v>#REF!</v>
      </c>
      <c r="O16" s="53" t="e">
        <f>+#REF!</f>
        <v>#REF!</v>
      </c>
      <c r="P16" s="53" t="e">
        <f>+#REF!</f>
        <v>#REF!</v>
      </c>
      <c r="Q16" s="53" t="e">
        <f>(Q$23*BN16)/100</f>
        <v>#REF!</v>
      </c>
      <c r="R16" s="53" t="e">
        <f>+#REF!</f>
        <v>#REF!</v>
      </c>
      <c r="S16" s="53" t="e">
        <f>(S$23*BK16)/100</f>
        <v>#REF!</v>
      </c>
      <c r="T16" s="53" t="e">
        <f>+#REF!</f>
        <v>#REF!</v>
      </c>
      <c r="U16" s="53" t="e">
        <f>+#REF!</f>
        <v>#REF!</v>
      </c>
      <c r="V16" s="53"/>
      <c r="W16" s="71"/>
      <c r="X16" s="57">
        <f t="shared" si="0"/>
        <v>-9.0185051857329164</v>
      </c>
      <c r="Y16" s="57">
        <f t="shared" si="1"/>
        <v>10.381702572701435</v>
      </c>
      <c r="Z16" s="57">
        <f t="shared" si="2"/>
        <v>17.987459891804747</v>
      </c>
      <c r="AA16" s="57" t="e">
        <f t="shared" si="3"/>
        <v>#REF!</v>
      </c>
      <c r="AB16" s="57" t="e">
        <f t="shared" si="4"/>
        <v>#REF!</v>
      </c>
      <c r="AC16" s="57" t="e">
        <f t="shared" si="5"/>
        <v>#REF!</v>
      </c>
      <c r="AD16" s="56" t="e">
        <f t="shared" si="6"/>
        <v>#REF!</v>
      </c>
      <c r="AE16" s="56" t="e">
        <f t="shared" si="7"/>
        <v>#REF!</v>
      </c>
      <c r="AF16" s="56" t="e">
        <f t="shared" si="8"/>
        <v>#REF!</v>
      </c>
      <c r="AG16" s="56" t="e">
        <f t="shared" si="9"/>
        <v>#REF!</v>
      </c>
      <c r="AH16" s="236"/>
      <c r="AI16" s="236"/>
      <c r="AJ16" s="236"/>
      <c r="AK16" s="236"/>
      <c r="AL16" s="56" t="e">
        <f t="shared" si="34"/>
        <v>#REF!</v>
      </c>
      <c r="AM16" s="56" t="e">
        <f t="shared" si="10"/>
        <v>#REF!</v>
      </c>
      <c r="AN16" s="57" t="e">
        <f t="shared" si="11"/>
        <v>#REF!</v>
      </c>
      <c r="AO16" s="56" t="e">
        <f t="shared" si="12"/>
        <v>#REF!</v>
      </c>
      <c r="AP16" s="56" t="e">
        <f t="shared" si="13"/>
        <v>#REF!</v>
      </c>
      <c r="AQ16" s="56" t="e">
        <f t="shared" si="14"/>
        <v>#REF!</v>
      </c>
      <c r="AR16" s="56" t="e">
        <f t="shared" si="15"/>
        <v>#REF!</v>
      </c>
      <c r="AS16" s="56" t="e">
        <f t="shared" si="16"/>
        <v>#REF!</v>
      </c>
      <c r="AT16" s="57" t="e">
        <f t="shared" si="17"/>
        <v>#REF!</v>
      </c>
      <c r="AU16" s="57"/>
      <c r="AV16" s="57">
        <f t="shared" si="18"/>
        <v>8.8097623776124276</v>
      </c>
      <c r="AW16" s="57">
        <f t="shared" si="19"/>
        <v>8.580701034151728</v>
      </c>
      <c r="AX16" s="57">
        <f t="shared" si="20"/>
        <v>8.8278060908140041</v>
      </c>
      <c r="AY16" s="57">
        <f t="shared" si="21"/>
        <v>8.7460631527180777</v>
      </c>
      <c r="AZ16" s="57" t="e">
        <f t="shared" si="22"/>
        <v>#REF!</v>
      </c>
      <c r="BA16" s="57" t="e">
        <f t="shared" si="23"/>
        <v>#REF!</v>
      </c>
      <c r="BB16" s="57" t="e">
        <f t="shared" si="24"/>
        <v>#REF!</v>
      </c>
      <c r="BC16" s="56" t="e">
        <f t="shared" si="25"/>
        <v>#REF!</v>
      </c>
      <c r="BD16" s="56" t="e">
        <f t="shared" si="26"/>
        <v>#REF!</v>
      </c>
      <c r="BE16" s="56" t="e">
        <f t="shared" si="27"/>
        <v>#REF!</v>
      </c>
      <c r="BF16" s="57" t="e">
        <f t="shared" si="35"/>
        <v>#REF!</v>
      </c>
      <c r="BG16" s="56" t="e">
        <f t="shared" si="28"/>
        <v>#REF!</v>
      </c>
      <c r="BH16" s="56" t="e">
        <f t="shared" si="29"/>
        <v>#REF!</v>
      </c>
      <c r="BI16" s="56" t="e">
        <f t="shared" si="30"/>
        <v>#REF!</v>
      </c>
      <c r="BJ16" s="56" t="e">
        <f t="shared" si="31"/>
        <v>#REF!</v>
      </c>
      <c r="BK16" s="257" t="e">
        <f t="shared" si="36"/>
        <v>#REF!</v>
      </c>
      <c r="BL16" s="257"/>
      <c r="BM16" s="56" t="e">
        <f t="shared" si="32"/>
        <v>#REF!</v>
      </c>
      <c r="BN16" s="56" t="e">
        <f t="shared" si="33"/>
        <v>#REF!</v>
      </c>
    </row>
    <row r="17" spans="1:66" ht="17.55" customHeight="1">
      <c r="A17" s="86" t="s">
        <v>23</v>
      </c>
      <c r="B17" s="87">
        <v>14975.61</v>
      </c>
      <c r="C17" s="87">
        <v>13708.46</v>
      </c>
      <c r="D17" s="87">
        <v>15200.28</v>
      </c>
      <c r="E17" s="87">
        <v>18503.96</v>
      </c>
      <c r="F17" s="70" t="e">
        <f>+F14+F15+F16</f>
        <v>#REF!</v>
      </c>
      <c r="G17" s="70" t="e">
        <f>+G14+G15+G16</f>
        <v>#REF!</v>
      </c>
      <c r="H17" s="70" t="e">
        <f>+H14+H15+H16</f>
        <v>#REF!</v>
      </c>
      <c r="I17" s="70" t="e">
        <f>+I14+I15+I16</f>
        <v>#REF!</v>
      </c>
      <c r="J17" s="70" t="e">
        <f t="shared" ref="J17:O17" si="42">+J16+J15+J14</f>
        <v>#REF!</v>
      </c>
      <c r="K17" s="70" t="e">
        <f t="shared" si="42"/>
        <v>#REF!</v>
      </c>
      <c r="L17" s="70" t="e">
        <f t="shared" si="42"/>
        <v>#REF!</v>
      </c>
      <c r="M17" s="70" t="e">
        <f t="shared" si="42"/>
        <v>#REF!</v>
      </c>
      <c r="N17" s="70" t="e">
        <f t="shared" si="42"/>
        <v>#REF!</v>
      </c>
      <c r="O17" s="70" t="e">
        <f t="shared" si="42"/>
        <v>#REF!</v>
      </c>
      <c r="P17" s="70" t="e">
        <f t="shared" ref="P17:U17" si="43">+P16+P15+P14</f>
        <v>#REF!</v>
      </c>
      <c r="Q17" s="70" t="e">
        <f t="shared" si="43"/>
        <v>#REF!</v>
      </c>
      <c r="R17" s="70" t="e">
        <f t="shared" si="43"/>
        <v>#REF!</v>
      </c>
      <c r="S17" s="70" t="e">
        <f t="shared" si="43"/>
        <v>#REF!</v>
      </c>
      <c r="T17" s="70" t="e">
        <f t="shared" si="43"/>
        <v>#REF!</v>
      </c>
      <c r="U17" s="70" t="e">
        <f t="shared" si="43"/>
        <v>#REF!</v>
      </c>
      <c r="V17" s="70"/>
      <c r="W17" s="48"/>
      <c r="X17" s="88">
        <f t="shared" si="0"/>
        <v>-8.4614249436250066</v>
      </c>
      <c r="Y17" s="88">
        <f t="shared" si="1"/>
        <v>10.882476952188668</v>
      </c>
      <c r="Z17" s="88">
        <f t="shared" si="2"/>
        <v>21.734336472749185</v>
      </c>
      <c r="AA17" s="88" t="e">
        <f t="shared" si="3"/>
        <v>#REF!</v>
      </c>
      <c r="AB17" s="88" t="e">
        <f t="shared" si="4"/>
        <v>#REF!</v>
      </c>
      <c r="AC17" s="325" t="e">
        <f t="shared" si="5"/>
        <v>#REF!</v>
      </c>
      <c r="AD17" s="88" t="e">
        <f t="shared" si="6"/>
        <v>#REF!</v>
      </c>
      <c r="AE17" s="88" t="e">
        <f t="shared" si="7"/>
        <v>#REF!</v>
      </c>
      <c r="AF17" s="88" t="e">
        <f t="shared" si="8"/>
        <v>#REF!</v>
      </c>
      <c r="AG17" s="88" t="e">
        <f t="shared" si="9"/>
        <v>#REF!</v>
      </c>
      <c r="AH17" s="237"/>
      <c r="AI17" s="237"/>
      <c r="AJ17" s="237"/>
      <c r="AK17" s="237"/>
      <c r="AL17" s="88" t="e">
        <f t="shared" si="34"/>
        <v>#REF!</v>
      </c>
      <c r="AM17" s="325" t="e">
        <f t="shared" si="10"/>
        <v>#REF!</v>
      </c>
      <c r="AN17" s="325" t="e">
        <f t="shared" si="11"/>
        <v>#REF!</v>
      </c>
      <c r="AO17" s="325" t="e">
        <f t="shared" si="12"/>
        <v>#REF!</v>
      </c>
      <c r="AP17" s="325" t="e">
        <f t="shared" si="13"/>
        <v>#REF!</v>
      </c>
      <c r="AQ17" s="88" t="e">
        <f t="shared" si="14"/>
        <v>#REF!</v>
      </c>
      <c r="AR17" s="325" t="e">
        <f t="shared" si="15"/>
        <v>#REF!</v>
      </c>
      <c r="AS17" s="325" t="e">
        <f t="shared" si="16"/>
        <v>#REF!</v>
      </c>
      <c r="AT17" s="325" t="e">
        <f t="shared" si="17"/>
        <v>#REF!</v>
      </c>
      <c r="AU17" s="88"/>
      <c r="AV17" s="88">
        <f t="shared" si="18"/>
        <v>25.672114876106022</v>
      </c>
      <c r="AW17" s="88">
        <f t="shared" si="19"/>
        <v>25.157721397678511</v>
      </c>
      <c r="AX17" s="88">
        <f t="shared" si="20"/>
        <v>25.999628827925825</v>
      </c>
      <c r="AY17" s="88">
        <f t="shared" si="21"/>
        <v>26.576893334850048</v>
      </c>
      <c r="AZ17" s="88" t="e">
        <f t="shared" si="22"/>
        <v>#REF!</v>
      </c>
      <c r="BA17" s="88" t="e">
        <f t="shared" si="23"/>
        <v>#REF!</v>
      </c>
      <c r="BB17" s="325" t="e">
        <f t="shared" si="24"/>
        <v>#REF!</v>
      </c>
      <c r="BC17" s="88" t="e">
        <f t="shared" si="25"/>
        <v>#REF!</v>
      </c>
      <c r="BD17" s="88" t="e">
        <f t="shared" si="26"/>
        <v>#REF!</v>
      </c>
      <c r="BE17" s="88" t="e">
        <f t="shared" si="27"/>
        <v>#REF!</v>
      </c>
      <c r="BF17" s="325" t="e">
        <f t="shared" si="35"/>
        <v>#REF!</v>
      </c>
      <c r="BG17" s="88" t="e">
        <f t="shared" si="28"/>
        <v>#REF!</v>
      </c>
      <c r="BH17" s="88" t="e">
        <f t="shared" si="29"/>
        <v>#REF!</v>
      </c>
      <c r="BI17" s="88" t="e">
        <f t="shared" si="30"/>
        <v>#REF!</v>
      </c>
      <c r="BJ17" s="88" t="e">
        <f t="shared" si="31"/>
        <v>#REF!</v>
      </c>
      <c r="BK17" s="237" t="e">
        <f t="shared" si="36"/>
        <v>#REF!</v>
      </c>
      <c r="BL17" s="237"/>
      <c r="BM17" s="325" t="e">
        <f t="shared" si="32"/>
        <v>#REF!</v>
      </c>
      <c r="BN17" s="325" t="e">
        <f t="shared" si="33"/>
        <v>#REF!</v>
      </c>
    </row>
    <row r="18" spans="1:66" ht="17.55" customHeight="1">
      <c r="A18" s="32" t="s">
        <v>25</v>
      </c>
      <c r="B18" s="53">
        <v>5307.77</v>
      </c>
      <c r="C18" s="53">
        <v>4632.58</v>
      </c>
      <c r="D18" s="53">
        <v>5477.32</v>
      </c>
      <c r="E18" s="53">
        <v>6309.06</v>
      </c>
      <c r="F18" s="53" t="e">
        <f>+#REF!</f>
        <v>#REF!</v>
      </c>
      <c r="G18" s="53" t="e">
        <f>+#REF!</f>
        <v>#REF!</v>
      </c>
      <c r="H18" s="53" t="e">
        <f>+#REF!</f>
        <v>#REF!</v>
      </c>
      <c r="I18" s="53" t="e">
        <f>+#REF!</f>
        <v>#REF!</v>
      </c>
      <c r="J18" s="53" t="e">
        <f>+#REF!</f>
        <v>#REF!</v>
      </c>
      <c r="K18" s="53" t="e">
        <f>+#REF!</f>
        <v>#REF!</v>
      </c>
      <c r="L18" s="53" t="e">
        <f>($L$23*BF18)/100</f>
        <v>#REF!</v>
      </c>
      <c r="M18" s="53" t="e">
        <f>+#REF!</f>
        <v>#REF!</v>
      </c>
      <c r="N18" s="53" t="e">
        <f>+#REF!</f>
        <v>#REF!</v>
      </c>
      <c r="O18" s="53" t="e">
        <f>+#REF!</f>
        <v>#REF!</v>
      </c>
      <c r="P18" s="53" t="e">
        <f>+#REF!</f>
        <v>#REF!</v>
      </c>
      <c r="Q18" s="53" t="e">
        <f>(Q$23*BN18)/100</f>
        <v>#REF!</v>
      </c>
      <c r="R18" s="53" t="e">
        <f>+#REF!</f>
        <v>#REF!</v>
      </c>
      <c r="S18" s="53" t="e">
        <f>(S$23*BK18)/100</f>
        <v>#REF!</v>
      </c>
      <c r="T18" s="53" t="e">
        <f>+#REF!</f>
        <v>#REF!</v>
      </c>
      <c r="U18" s="53" t="e">
        <f>+#REF!</f>
        <v>#REF!</v>
      </c>
      <c r="V18" s="53"/>
      <c r="W18" s="71"/>
      <c r="X18" s="56">
        <f t="shared" si="0"/>
        <v>-12.720784811700591</v>
      </c>
      <c r="Y18" s="56">
        <f t="shared" si="1"/>
        <v>18.234763350012308</v>
      </c>
      <c r="Z18" s="56">
        <f t="shared" si="2"/>
        <v>15.185163547136193</v>
      </c>
      <c r="AA18" s="56" t="e">
        <f t="shared" si="3"/>
        <v>#REF!</v>
      </c>
      <c r="AB18" s="56" t="e">
        <f t="shared" si="4"/>
        <v>#REF!</v>
      </c>
      <c r="AC18" s="57" t="e">
        <f t="shared" si="5"/>
        <v>#REF!</v>
      </c>
      <c r="AD18" s="56" t="e">
        <f t="shared" si="6"/>
        <v>#REF!</v>
      </c>
      <c r="AE18" s="56" t="e">
        <f t="shared" si="7"/>
        <v>#REF!</v>
      </c>
      <c r="AF18" s="56" t="e">
        <f t="shared" si="8"/>
        <v>#REF!</v>
      </c>
      <c r="AG18" s="56" t="e">
        <f t="shared" si="9"/>
        <v>#REF!</v>
      </c>
      <c r="AH18" s="236"/>
      <c r="AI18" s="236"/>
      <c r="AJ18" s="236"/>
      <c r="AK18" s="236"/>
      <c r="AL18" s="56" t="e">
        <f t="shared" si="34"/>
        <v>#REF!</v>
      </c>
      <c r="AM18" s="56" t="e">
        <f t="shared" si="10"/>
        <v>#REF!</v>
      </c>
      <c r="AN18" s="57" t="e">
        <f t="shared" si="11"/>
        <v>#REF!</v>
      </c>
      <c r="AO18" s="56" t="e">
        <f t="shared" si="12"/>
        <v>#REF!</v>
      </c>
      <c r="AP18" s="56" t="e">
        <f t="shared" si="13"/>
        <v>#REF!</v>
      </c>
      <c r="AQ18" s="56" t="e">
        <f t="shared" si="14"/>
        <v>#REF!</v>
      </c>
      <c r="AR18" s="56" t="e">
        <f t="shared" si="15"/>
        <v>#REF!</v>
      </c>
      <c r="AS18" s="56" t="e">
        <f t="shared" si="16"/>
        <v>#REF!</v>
      </c>
      <c r="AT18" s="57" t="e">
        <f t="shared" si="17"/>
        <v>#REF!</v>
      </c>
      <c r="AU18" s="56"/>
      <c r="AV18" s="56">
        <f t="shared" si="18"/>
        <v>9.0989069010176724</v>
      </c>
      <c r="AW18" s="56">
        <f t="shared" si="19"/>
        <v>8.5016958135674994</v>
      </c>
      <c r="AX18" s="56">
        <f t="shared" si="20"/>
        <v>9.3687936651018706</v>
      </c>
      <c r="AY18" s="56">
        <f t="shared" si="21"/>
        <v>9.0615854478267934</v>
      </c>
      <c r="AZ18" s="56" t="e">
        <f t="shared" si="22"/>
        <v>#REF!</v>
      </c>
      <c r="BA18" s="56" t="e">
        <f t="shared" si="23"/>
        <v>#REF!</v>
      </c>
      <c r="BB18" s="57" t="e">
        <f t="shared" si="24"/>
        <v>#REF!</v>
      </c>
      <c r="BC18" s="56" t="e">
        <f t="shared" si="25"/>
        <v>#REF!</v>
      </c>
      <c r="BD18" s="56" t="e">
        <f t="shared" si="26"/>
        <v>#REF!</v>
      </c>
      <c r="BE18" s="56" t="e">
        <f t="shared" si="27"/>
        <v>#REF!</v>
      </c>
      <c r="BF18" s="57" t="e">
        <f t="shared" si="35"/>
        <v>#REF!</v>
      </c>
      <c r="BG18" s="56" t="e">
        <f t="shared" si="28"/>
        <v>#REF!</v>
      </c>
      <c r="BH18" s="56" t="e">
        <f t="shared" si="29"/>
        <v>#REF!</v>
      </c>
      <c r="BI18" s="56" t="e">
        <f t="shared" si="30"/>
        <v>#REF!</v>
      </c>
      <c r="BJ18" s="56" t="e">
        <f t="shared" si="31"/>
        <v>#REF!</v>
      </c>
      <c r="BK18" s="257" t="e">
        <f t="shared" si="36"/>
        <v>#REF!</v>
      </c>
      <c r="BL18" s="257"/>
      <c r="BM18" s="56" t="e">
        <f t="shared" si="32"/>
        <v>#REF!</v>
      </c>
      <c r="BN18" s="56" t="e">
        <f t="shared" si="33"/>
        <v>#REF!</v>
      </c>
    </row>
    <row r="19" spans="1:66" ht="17.55" customHeight="1">
      <c r="A19" s="45" t="s">
        <v>27</v>
      </c>
      <c r="B19" s="53">
        <v>4920.42</v>
      </c>
      <c r="C19" s="53">
        <v>4555.42</v>
      </c>
      <c r="D19" s="53">
        <v>5346.5</v>
      </c>
      <c r="E19" s="53">
        <v>6219.54</v>
      </c>
      <c r="F19" s="53" t="e">
        <f>+#REF!</f>
        <v>#REF!</v>
      </c>
      <c r="G19" s="53" t="e">
        <f>+#REF!</f>
        <v>#REF!</v>
      </c>
      <c r="H19" s="53" t="e">
        <f>+#REF!</f>
        <v>#REF!</v>
      </c>
      <c r="I19" s="53" t="e">
        <f>+#REF!</f>
        <v>#REF!</v>
      </c>
      <c r="J19" s="53" t="e">
        <f>+#REF!</f>
        <v>#REF!</v>
      </c>
      <c r="K19" s="53" t="e">
        <f>+#REF!</f>
        <v>#REF!</v>
      </c>
      <c r="L19" s="53" t="e">
        <f>($L$23*BF19)/100</f>
        <v>#REF!</v>
      </c>
      <c r="M19" s="53" t="e">
        <f>+#REF!</f>
        <v>#REF!</v>
      </c>
      <c r="N19" s="53" t="e">
        <f>+#REF!</f>
        <v>#REF!</v>
      </c>
      <c r="O19" s="53" t="e">
        <f>+#REF!</f>
        <v>#REF!</v>
      </c>
      <c r="P19" s="53" t="e">
        <f>+#REF!</f>
        <v>#REF!</v>
      </c>
      <c r="Q19" s="53" t="e">
        <f>(Q$23*BN19)/100</f>
        <v>#REF!</v>
      </c>
      <c r="R19" s="53" t="e">
        <f>+#REF!</f>
        <v>#REF!</v>
      </c>
      <c r="S19" s="53" t="e">
        <f>(S$23*BK19)/100</f>
        <v>#REF!</v>
      </c>
      <c r="T19" s="53" t="e">
        <f>+#REF!</f>
        <v>#REF!</v>
      </c>
      <c r="U19" s="53" t="e">
        <f>+#REF!</f>
        <v>#REF!</v>
      </c>
      <c r="V19" s="53"/>
      <c r="W19" s="71"/>
      <c r="X19" s="56">
        <f t="shared" si="0"/>
        <v>-7.4180659374606268</v>
      </c>
      <c r="Y19" s="56">
        <f t="shared" si="1"/>
        <v>17.365687466797787</v>
      </c>
      <c r="Z19" s="56">
        <f t="shared" si="2"/>
        <v>16.329187318806703</v>
      </c>
      <c r="AA19" s="56" t="e">
        <f t="shared" si="3"/>
        <v>#REF!</v>
      </c>
      <c r="AB19" s="56" t="e">
        <f t="shared" si="4"/>
        <v>#REF!</v>
      </c>
      <c r="AC19" s="57" t="e">
        <f t="shared" si="5"/>
        <v>#REF!</v>
      </c>
      <c r="AD19" s="56" t="e">
        <f t="shared" si="6"/>
        <v>#REF!</v>
      </c>
      <c r="AE19" s="56" t="e">
        <f t="shared" si="7"/>
        <v>#REF!</v>
      </c>
      <c r="AF19" s="56" t="e">
        <f t="shared" si="8"/>
        <v>#REF!</v>
      </c>
      <c r="AG19" s="56" t="e">
        <f t="shared" si="9"/>
        <v>#REF!</v>
      </c>
      <c r="AH19" s="236"/>
      <c r="AI19" s="236"/>
      <c r="AJ19" s="236"/>
      <c r="AK19" s="236"/>
      <c r="AL19" s="56" t="e">
        <f t="shared" si="34"/>
        <v>#REF!</v>
      </c>
      <c r="AM19" s="56" t="e">
        <f t="shared" si="10"/>
        <v>#REF!</v>
      </c>
      <c r="AN19" s="57" t="e">
        <f t="shared" si="11"/>
        <v>#REF!</v>
      </c>
      <c r="AO19" s="56" t="e">
        <f t="shared" si="12"/>
        <v>#REF!</v>
      </c>
      <c r="AP19" s="56" t="e">
        <f t="shared" si="13"/>
        <v>#REF!</v>
      </c>
      <c r="AQ19" s="56" t="e">
        <f t="shared" si="14"/>
        <v>#REF!</v>
      </c>
      <c r="AR19" s="56" t="e">
        <f t="shared" si="15"/>
        <v>#REF!</v>
      </c>
      <c r="AS19" s="56" t="e">
        <f t="shared" si="16"/>
        <v>#REF!</v>
      </c>
      <c r="AT19" s="57" t="e">
        <f t="shared" si="17"/>
        <v>#REF!</v>
      </c>
      <c r="AU19" s="56"/>
      <c r="AV19" s="56">
        <f t="shared" si="18"/>
        <v>8.434887625858952</v>
      </c>
      <c r="AW19" s="56">
        <f t="shared" si="19"/>
        <v>8.3600920314471967</v>
      </c>
      <c r="AX19" s="56">
        <f t="shared" si="20"/>
        <v>9.1450299289556121</v>
      </c>
      <c r="AY19" s="56">
        <f t="shared" si="21"/>
        <v>8.933009538057437</v>
      </c>
      <c r="AZ19" s="56" t="e">
        <f t="shared" si="22"/>
        <v>#REF!</v>
      </c>
      <c r="BA19" s="56" t="e">
        <f t="shared" si="23"/>
        <v>#REF!</v>
      </c>
      <c r="BB19" s="57" t="e">
        <f t="shared" si="24"/>
        <v>#REF!</v>
      </c>
      <c r="BC19" s="56" t="e">
        <f t="shared" si="25"/>
        <v>#REF!</v>
      </c>
      <c r="BD19" s="56" t="e">
        <f t="shared" si="26"/>
        <v>#REF!</v>
      </c>
      <c r="BE19" s="56" t="e">
        <f t="shared" si="27"/>
        <v>#REF!</v>
      </c>
      <c r="BF19" s="57" t="e">
        <f t="shared" si="35"/>
        <v>#REF!</v>
      </c>
      <c r="BG19" s="56" t="e">
        <f t="shared" si="28"/>
        <v>#REF!</v>
      </c>
      <c r="BH19" s="56" t="e">
        <f t="shared" si="29"/>
        <v>#REF!</v>
      </c>
      <c r="BI19" s="56" t="e">
        <f t="shared" si="30"/>
        <v>#REF!</v>
      </c>
      <c r="BJ19" s="56" t="e">
        <f t="shared" si="31"/>
        <v>#REF!</v>
      </c>
      <c r="BK19" s="257" t="e">
        <f t="shared" si="36"/>
        <v>#REF!</v>
      </c>
      <c r="BL19" s="257"/>
      <c r="BM19" s="56" t="e">
        <f t="shared" si="32"/>
        <v>#REF!</v>
      </c>
      <c r="BN19" s="56" t="e">
        <f t="shared" si="33"/>
        <v>#REF!</v>
      </c>
    </row>
    <row r="20" spans="1:66" ht="17.55" customHeight="1">
      <c r="A20" s="47" t="s">
        <v>29</v>
      </c>
      <c r="B20" s="54">
        <v>5040.43</v>
      </c>
      <c r="C20" s="54">
        <v>4676.1000000000058</v>
      </c>
      <c r="D20" s="54">
        <v>5342.75</v>
      </c>
      <c r="E20" s="53">
        <v>5916.97</v>
      </c>
      <c r="F20" s="53" t="e">
        <f>+#REF!</f>
        <v>#REF!</v>
      </c>
      <c r="G20" s="53" t="e">
        <f>+#REF!</f>
        <v>#REF!</v>
      </c>
      <c r="H20" s="53" t="e">
        <f>+#REF!</f>
        <v>#REF!</v>
      </c>
      <c r="I20" s="53" t="e">
        <f>+#REF!</f>
        <v>#REF!</v>
      </c>
      <c r="J20" s="54" t="e">
        <f>+#REF!</f>
        <v>#REF!</v>
      </c>
      <c r="K20" s="54" t="e">
        <f>+#REF!</f>
        <v>#REF!</v>
      </c>
      <c r="L20" s="53" t="e">
        <f>($L$23*BF20)/100</f>
        <v>#REF!</v>
      </c>
      <c r="M20" s="53" t="e">
        <f>+#REF!</f>
        <v>#REF!</v>
      </c>
      <c r="N20" s="53" t="e">
        <f>+#REF!</f>
        <v>#REF!</v>
      </c>
      <c r="O20" s="53" t="e">
        <f>+#REF!</f>
        <v>#REF!</v>
      </c>
      <c r="P20" s="53" t="e">
        <f>+#REF!</f>
        <v>#REF!</v>
      </c>
      <c r="Q20" s="53" t="e">
        <f>(Q$23*BN20)/100</f>
        <v>#REF!</v>
      </c>
      <c r="R20" s="53" t="e">
        <f>+#REF!</f>
        <v>#REF!</v>
      </c>
      <c r="S20" s="53" t="e">
        <f>(S$23*BK20)/100</f>
        <v>#REF!</v>
      </c>
      <c r="T20" s="53" t="e">
        <f>+#REF!</f>
        <v>#REF!</v>
      </c>
      <c r="U20" s="53" t="e">
        <f>+#REF!</f>
        <v>#REF!</v>
      </c>
      <c r="V20" s="53"/>
      <c r="W20" s="48"/>
      <c r="X20" s="58">
        <f t="shared" si="0"/>
        <v>-7.2281531535998811</v>
      </c>
      <c r="Y20" s="58">
        <f t="shared" si="1"/>
        <v>14.256538568465027</v>
      </c>
      <c r="Z20" s="58">
        <f t="shared" si="2"/>
        <v>10.747648682794452</v>
      </c>
      <c r="AA20" s="58" t="e">
        <f t="shared" si="3"/>
        <v>#REF!</v>
      </c>
      <c r="AB20" s="57" t="e">
        <f t="shared" si="4"/>
        <v>#REF!</v>
      </c>
      <c r="AC20" s="57" t="e">
        <f t="shared" si="5"/>
        <v>#REF!</v>
      </c>
      <c r="AD20" s="57" t="e">
        <f t="shared" si="6"/>
        <v>#REF!</v>
      </c>
      <c r="AE20" s="56" t="e">
        <f t="shared" si="7"/>
        <v>#REF!</v>
      </c>
      <c r="AF20" s="56" t="e">
        <f t="shared" si="8"/>
        <v>#REF!</v>
      </c>
      <c r="AG20" s="56" t="e">
        <f t="shared" si="9"/>
        <v>#REF!</v>
      </c>
      <c r="AH20" s="236"/>
      <c r="AI20" s="236"/>
      <c r="AJ20" s="236"/>
      <c r="AK20" s="236"/>
      <c r="AL20" s="56" t="e">
        <f t="shared" si="34"/>
        <v>#REF!</v>
      </c>
      <c r="AM20" s="56" t="e">
        <f t="shared" si="10"/>
        <v>#REF!</v>
      </c>
      <c r="AN20" s="57" t="e">
        <f t="shared" si="11"/>
        <v>#REF!</v>
      </c>
      <c r="AO20" s="56" t="e">
        <f t="shared" si="12"/>
        <v>#REF!</v>
      </c>
      <c r="AP20" s="56" t="e">
        <f t="shared" si="13"/>
        <v>#REF!</v>
      </c>
      <c r="AQ20" s="56" t="e">
        <f t="shared" si="14"/>
        <v>#REF!</v>
      </c>
      <c r="AR20" s="56" t="e">
        <f t="shared" si="15"/>
        <v>#REF!</v>
      </c>
      <c r="AS20" s="56" t="e">
        <f t="shared" si="16"/>
        <v>#REF!</v>
      </c>
      <c r="AT20" s="57" t="e">
        <f t="shared" si="17"/>
        <v>#REF!</v>
      </c>
      <c r="AU20" s="58"/>
      <c r="AV20" s="58">
        <f t="shared" si="18"/>
        <v>8.6406161742307042</v>
      </c>
      <c r="AW20" s="58">
        <f t="shared" si="19"/>
        <v>8.5815635766296605</v>
      </c>
      <c r="AX20" s="58">
        <f t="shared" si="20"/>
        <v>9.1386156650009536</v>
      </c>
      <c r="AY20" s="58">
        <f t="shared" si="21"/>
        <v>8.498433878775554</v>
      </c>
      <c r="AZ20" s="58" t="e">
        <f t="shared" si="22"/>
        <v>#REF!</v>
      </c>
      <c r="BA20" s="57" t="e">
        <f t="shared" si="23"/>
        <v>#REF!</v>
      </c>
      <c r="BB20" s="57" t="e">
        <f t="shared" si="24"/>
        <v>#REF!</v>
      </c>
      <c r="BC20" s="57" t="e">
        <f t="shared" si="25"/>
        <v>#REF!</v>
      </c>
      <c r="BD20" s="56" t="e">
        <f t="shared" si="26"/>
        <v>#REF!</v>
      </c>
      <c r="BE20" s="56" t="e">
        <f t="shared" si="27"/>
        <v>#REF!</v>
      </c>
      <c r="BF20" s="57" t="e">
        <f t="shared" si="35"/>
        <v>#REF!</v>
      </c>
      <c r="BG20" s="56" t="e">
        <f t="shared" si="28"/>
        <v>#REF!</v>
      </c>
      <c r="BH20" s="56" t="e">
        <f t="shared" si="29"/>
        <v>#REF!</v>
      </c>
      <c r="BI20" s="56" t="e">
        <f t="shared" si="30"/>
        <v>#REF!</v>
      </c>
      <c r="BJ20" s="56" t="e">
        <f t="shared" si="31"/>
        <v>#REF!</v>
      </c>
      <c r="BK20" s="257" t="e">
        <f t="shared" si="36"/>
        <v>#REF!</v>
      </c>
      <c r="BL20" s="257"/>
      <c r="BM20" s="56" t="e">
        <f t="shared" si="32"/>
        <v>#REF!</v>
      </c>
      <c r="BN20" s="56" t="e">
        <f t="shared" si="33"/>
        <v>#REF!</v>
      </c>
    </row>
    <row r="21" spans="1:66" ht="17.55" customHeight="1">
      <c r="A21" s="63" t="s">
        <v>30</v>
      </c>
      <c r="B21" s="70">
        <v>15268.62</v>
      </c>
      <c r="C21" s="70">
        <v>13864.1</v>
      </c>
      <c r="D21" s="70">
        <v>16166.57</v>
      </c>
      <c r="E21" s="70">
        <v>18445.57</v>
      </c>
      <c r="F21" s="70" t="e">
        <f>+F18+F19+F20</f>
        <v>#REF!</v>
      </c>
      <c r="G21" s="70" t="e">
        <f>+G18+G19+G20</f>
        <v>#REF!</v>
      </c>
      <c r="H21" s="70" t="e">
        <f>+H18+H19+H20</f>
        <v>#REF!</v>
      </c>
      <c r="I21" s="70" t="e">
        <f>+I18+I19+I20</f>
        <v>#REF!</v>
      </c>
      <c r="J21" s="70" t="e">
        <f t="shared" ref="J21:O21" si="44">+J20+J19+J18</f>
        <v>#REF!</v>
      </c>
      <c r="K21" s="70" t="e">
        <f t="shared" si="44"/>
        <v>#REF!</v>
      </c>
      <c r="L21" s="70" t="e">
        <f t="shared" si="44"/>
        <v>#REF!</v>
      </c>
      <c r="M21" s="70" t="e">
        <f t="shared" si="44"/>
        <v>#REF!</v>
      </c>
      <c r="N21" s="70" t="e">
        <f t="shared" si="44"/>
        <v>#REF!</v>
      </c>
      <c r="O21" s="70" t="e">
        <f t="shared" si="44"/>
        <v>#REF!</v>
      </c>
      <c r="P21" s="70" t="e">
        <f t="shared" ref="P21:U21" si="45">+P20+P19+P18</f>
        <v>#REF!</v>
      </c>
      <c r="Q21" s="70" t="e">
        <f t="shared" si="45"/>
        <v>#REF!</v>
      </c>
      <c r="R21" s="70" t="e">
        <f t="shared" si="45"/>
        <v>#REF!</v>
      </c>
      <c r="S21" s="70" t="e">
        <f t="shared" si="45"/>
        <v>#REF!</v>
      </c>
      <c r="T21" s="70" t="e">
        <f t="shared" si="45"/>
        <v>#REF!</v>
      </c>
      <c r="U21" s="70" t="e">
        <f t="shared" si="45"/>
        <v>#REF!</v>
      </c>
      <c r="V21" s="70"/>
      <c r="W21" s="48"/>
      <c r="X21" s="60">
        <f t="shared" si="0"/>
        <v>-9.1987357076147021</v>
      </c>
      <c r="Y21" s="60">
        <f t="shared" si="1"/>
        <v>16.607424932018656</v>
      </c>
      <c r="Z21" s="60">
        <f t="shared" si="2"/>
        <v>14.096991507784274</v>
      </c>
      <c r="AA21" s="60" t="e">
        <f t="shared" si="3"/>
        <v>#REF!</v>
      </c>
      <c r="AB21" s="325" t="e">
        <f t="shared" si="4"/>
        <v>#REF!</v>
      </c>
      <c r="AC21" s="325" t="e">
        <f t="shared" si="5"/>
        <v>#REF!</v>
      </c>
      <c r="AD21" s="325" t="e">
        <f t="shared" si="6"/>
        <v>#REF!</v>
      </c>
      <c r="AE21" s="88" t="e">
        <f t="shared" si="7"/>
        <v>#REF!</v>
      </c>
      <c r="AF21" s="88" t="e">
        <f t="shared" si="8"/>
        <v>#REF!</v>
      </c>
      <c r="AG21" s="88" t="e">
        <f t="shared" si="9"/>
        <v>#REF!</v>
      </c>
      <c r="AH21" s="237"/>
      <c r="AI21" s="237"/>
      <c r="AJ21" s="237"/>
      <c r="AK21" s="243"/>
      <c r="AL21" s="88" t="e">
        <f t="shared" si="34"/>
        <v>#REF!</v>
      </c>
      <c r="AM21" s="325" t="e">
        <f t="shared" si="10"/>
        <v>#REF!</v>
      </c>
      <c r="AN21" s="325" t="e">
        <f t="shared" si="11"/>
        <v>#REF!</v>
      </c>
      <c r="AO21" s="325" t="e">
        <f t="shared" si="12"/>
        <v>#REF!</v>
      </c>
      <c r="AP21" s="325" t="e">
        <f t="shared" si="13"/>
        <v>#REF!</v>
      </c>
      <c r="AQ21" s="56" t="e">
        <f t="shared" si="14"/>
        <v>#REF!</v>
      </c>
      <c r="AR21" s="325" t="e">
        <f t="shared" si="15"/>
        <v>#REF!</v>
      </c>
      <c r="AS21" s="325" t="e">
        <f t="shared" si="16"/>
        <v>#REF!</v>
      </c>
      <c r="AT21" s="325" t="e">
        <f t="shared" si="17"/>
        <v>#REF!</v>
      </c>
      <c r="AU21" s="60"/>
      <c r="AV21" s="60">
        <f t="shared" si="18"/>
        <v>26.174410701107327</v>
      </c>
      <c r="AW21" s="60">
        <f t="shared" si="19"/>
        <v>25.443351421644351</v>
      </c>
      <c r="AX21" s="60">
        <f t="shared" si="20"/>
        <v>27.652439259058436</v>
      </c>
      <c r="AY21" s="60">
        <f t="shared" si="21"/>
        <v>26.493028864659784</v>
      </c>
      <c r="AZ21" s="60" t="e">
        <f t="shared" si="22"/>
        <v>#REF!</v>
      </c>
      <c r="BA21" s="325" t="e">
        <f t="shared" si="23"/>
        <v>#REF!</v>
      </c>
      <c r="BB21" s="325" t="e">
        <f t="shared" si="24"/>
        <v>#REF!</v>
      </c>
      <c r="BC21" s="325" t="e">
        <f t="shared" si="25"/>
        <v>#REF!</v>
      </c>
      <c r="BD21" s="88" t="e">
        <f t="shared" si="26"/>
        <v>#REF!</v>
      </c>
      <c r="BE21" s="88" t="e">
        <f t="shared" si="27"/>
        <v>#REF!</v>
      </c>
      <c r="BF21" s="325" t="e">
        <f t="shared" si="35"/>
        <v>#REF!</v>
      </c>
      <c r="BG21" s="325" t="e">
        <f t="shared" si="28"/>
        <v>#REF!</v>
      </c>
      <c r="BH21" s="325" t="e">
        <f t="shared" si="29"/>
        <v>#REF!</v>
      </c>
      <c r="BI21" s="325" t="e">
        <f t="shared" si="30"/>
        <v>#REF!</v>
      </c>
      <c r="BJ21" s="325" t="e">
        <f t="shared" si="31"/>
        <v>#REF!</v>
      </c>
      <c r="BK21" s="257" t="e">
        <f t="shared" si="36"/>
        <v>#REF!</v>
      </c>
      <c r="BL21" s="257"/>
      <c r="BM21" s="325" t="e">
        <f t="shared" si="32"/>
        <v>#REF!</v>
      </c>
      <c r="BN21" s="325" t="e">
        <f t="shared" si="33"/>
        <v>#REF!</v>
      </c>
    </row>
    <row r="22" spans="1:66" ht="17.55" customHeight="1">
      <c r="A22" s="89" t="s">
        <v>31</v>
      </c>
      <c r="B22" s="90">
        <f t="shared" ref="B22:U22" si="46">+B21+B17</f>
        <v>30244.230000000003</v>
      </c>
      <c r="C22" s="90">
        <f t="shared" si="46"/>
        <v>27572.559999999998</v>
      </c>
      <c r="D22" s="90">
        <f t="shared" si="46"/>
        <v>31366.85</v>
      </c>
      <c r="E22" s="90">
        <f t="shared" si="46"/>
        <v>36949.53</v>
      </c>
      <c r="F22" s="90" t="e">
        <f t="shared" si="46"/>
        <v>#REF!</v>
      </c>
      <c r="G22" s="90" t="e">
        <f t="shared" si="46"/>
        <v>#REF!</v>
      </c>
      <c r="H22" s="90" t="e">
        <f t="shared" si="46"/>
        <v>#REF!</v>
      </c>
      <c r="I22" s="90" t="e">
        <f t="shared" si="46"/>
        <v>#REF!</v>
      </c>
      <c r="J22" s="90" t="e">
        <f t="shared" si="46"/>
        <v>#REF!</v>
      </c>
      <c r="K22" s="90" t="e">
        <f t="shared" si="46"/>
        <v>#REF!</v>
      </c>
      <c r="L22" s="90" t="e">
        <f t="shared" si="46"/>
        <v>#REF!</v>
      </c>
      <c r="M22" s="90" t="e">
        <f t="shared" si="46"/>
        <v>#REF!</v>
      </c>
      <c r="N22" s="90" t="e">
        <f t="shared" si="46"/>
        <v>#REF!</v>
      </c>
      <c r="O22" s="90" t="e">
        <f t="shared" si="46"/>
        <v>#REF!</v>
      </c>
      <c r="P22" s="90" t="e">
        <f t="shared" si="46"/>
        <v>#REF!</v>
      </c>
      <c r="Q22" s="90" t="e">
        <f t="shared" si="46"/>
        <v>#REF!</v>
      </c>
      <c r="R22" s="90" t="e">
        <f t="shared" ref="R22" si="47">+R21+R17</f>
        <v>#REF!</v>
      </c>
      <c r="S22" s="90" t="e">
        <f t="shared" si="46"/>
        <v>#REF!</v>
      </c>
      <c r="T22" s="90" t="e">
        <f t="shared" si="46"/>
        <v>#REF!</v>
      </c>
      <c r="U22" s="90" t="e">
        <f t="shared" si="46"/>
        <v>#REF!</v>
      </c>
      <c r="V22" s="70"/>
      <c r="W22" s="48"/>
      <c r="X22" s="60">
        <f t="shared" si="0"/>
        <v>-8.8336519064958985</v>
      </c>
      <c r="Y22" s="60">
        <f t="shared" si="1"/>
        <v>13.761108870558258</v>
      </c>
      <c r="Z22" s="60">
        <f t="shared" si="2"/>
        <v>17.798025622592007</v>
      </c>
      <c r="AA22" s="60" t="e">
        <f t="shared" si="3"/>
        <v>#REF!</v>
      </c>
      <c r="AB22" s="325" t="e">
        <f t="shared" si="4"/>
        <v>#REF!</v>
      </c>
      <c r="AC22" s="325" t="e">
        <f t="shared" si="5"/>
        <v>#REF!</v>
      </c>
      <c r="AD22" s="325" t="e">
        <f t="shared" si="6"/>
        <v>#REF!</v>
      </c>
      <c r="AE22" s="88" t="e">
        <f t="shared" si="7"/>
        <v>#REF!</v>
      </c>
      <c r="AF22" s="88" t="e">
        <f t="shared" si="8"/>
        <v>#REF!</v>
      </c>
      <c r="AG22" s="88" t="e">
        <f t="shared" si="9"/>
        <v>#REF!</v>
      </c>
      <c r="AH22" s="238"/>
      <c r="AI22" s="238"/>
      <c r="AJ22" s="238"/>
      <c r="AK22" s="243"/>
      <c r="AL22" s="88" t="e">
        <f t="shared" si="34"/>
        <v>#REF!</v>
      </c>
      <c r="AM22" s="325" t="e">
        <f t="shared" si="10"/>
        <v>#REF!</v>
      </c>
      <c r="AN22" s="325" t="e">
        <f t="shared" si="11"/>
        <v>#REF!</v>
      </c>
      <c r="AO22" s="325" t="e">
        <f t="shared" si="12"/>
        <v>#REF!</v>
      </c>
      <c r="AP22" s="325" t="e">
        <f t="shared" si="13"/>
        <v>#REF!</v>
      </c>
      <c r="AQ22" s="56" t="e">
        <f t="shared" si="14"/>
        <v>#REF!</v>
      </c>
      <c r="AR22" s="325" t="e">
        <f t="shared" si="15"/>
        <v>#REF!</v>
      </c>
      <c r="AS22" s="325" t="e">
        <f t="shared" si="16"/>
        <v>#REF!</v>
      </c>
      <c r="AT22" s="325" t="e">
        <f t="shared" si="17"/>
        <v>#REF!</v>
      </c>
      <c r="AU22" s="60"/>
      <c r="AV22" s="60">
        <f t="shared" si="18"/>
        <v>51.846525577213356</v>
      </c>
      <c r="AW22" s="60">
        <f t="shared" si="19"/>
        <v>50.601072819322859</v>
      </c>
      <c r="AX22" s="60">
        <f t="shared" si="20"/>
        <v>53.652068086984258</v>
      </c>
      <c r="AY22" s="60">
        <f t="shared" si="21"/>
        <v>53.069922199509833</v>
      </c>
      <c r="AZ22" s="60" t="e">
        <f t="shared" si="22"/>
        <v>#REF!</v>
      </c>
      <c r="BA22" s="325" t="e">
        <f t="shared" si="23"/>
        <v>#REF!</v>
      </c>
      <c r="BB22" s="325" t="e">
        <f t="shared" si="24"/>
        <v>#REF!</v>
      </c>
      <c r="BC22" s="325" t="e">
        <f t="shared" si="25"/>
        <v>#REF!</v>
      </c>
      <c r="BD22" s="88" t="e">
        <f t="shared" si="26"/>
        <v>#REF!</v>
      </c>
      <c r="BE22" s="88" t="e">
        <f t="shared" si="27"/>
        <v>#REF!</v>
      </c>
      <c r="BF22" s="325" t="e">
        <f t="shared" si="35"/>
        <v>#REF!</v>
      </c>
      <c r="BG22" s="325" t="e">
        <f t="shared" si="28"/>
        <v>#REF!</v>
      </c>
      <c r="BH22" s="325" t="e">
        <f t="shared" si="29"/>
        <v>#REF!</v>
      </c>
      <c r="BI22" s="325" t="e">
        <f t="shared" si="30"/>
        <v>#REF!</v>
      </c>
      <c r="BJ22" s="325" t="e">
        <f t="shared" si="31"/>
        <v>#REF!</v>
      </c>
      <c r="BK22" s="257" t="e">
        <f t="shared" si="36"/>
        <v>#REF!</v>
      </c>
      <c r="BL22" s="257"/>
      <c r="BM22" s="325" t="e">
        <f t="shared" si="32"/>
        <v>#REF!</v>
      </c>
      <c r="BN22" s="325" t="e">
        <f t="shared" si="33"/>
        <v>#REF!</v>
      </c>
    </row>
    <row r="23" spans="1:66" ht="17.55" customHeight="1">
      <c r="A23" s="49" t="s">
        <v>32</v>
      </c>
      <c r="B23" s="55">
        <f t="shared" ref="B23:H23" si="48">+B8+B12+B17+B21</f>
        <v>58334.15</v>
      </c>
      <c r="C23" s="55">
        <f t="shared" si="48"/>
        <v>54490.07</v>
      </c>
      <c r="D23" s="55">
        <f t="shared" si="48"/>
        <v>58463.45</v>
      </c>
      <c r="E23" s="55">
        <f t="shared" si="48"/>
        <v>69624.239999999991</v>
      </c>
      <c r="F23" s="55" t="e">
        <f>+F8+F12+F17+F21</f>
        <v>#REF!</v>
      </c>
      <c r="G23" s="55" t="e">
        <f>+G8+G12+G17+G21</f>
        <v>#REF!</v>
      </c>
      <c r="H23" s="55" t="e">
        <f t="shared" si="48"/>
        <v>#REF!</v>
      </c>
      <c r="I23" s="55" t="e">
        <f>+I8+I12+I17+I21</f>
        <v>#REF!</v>
      </c>
      <c r="J23" s="55" t="e">
        <f>+J8+J12+J17+J21</f>
        <v>#REF!</v>
      </c>
      <c r="K23" s="55" t="e">
        <f>+K8+K12+K17+K21</f>
        <v>#REF!</v>
      </c>
      <c r="L23" s="55">
        <v>145962</v>
      </c>
      <c r="M23" s="241" t="e">
        <f>+M8+M12+M17+M21</f>
        <v>#REF!</v>
      </c>
      <c r="N23" s="241" t="e">
        <f>+N8+N12+N17+N21</f>
        <v>#REF!</v>
      </c>
      <c r="O23" s="241" t="e">
        <f>+O8+O12+O17+O21</f>
        <v>#REF!</v>
      </c>
      <c r="P23" s="251" t="e">
        <f>+P8+P12+P17+P21</f>
        <v>#REF!</v>
      </c>
      <c r="Q23" s="241" t="e">
        <f>(#REF!*(100+AP23)/100)</f>
        <v>#REF!</v>
      </c>
      <c r="R23" s="241" t="e">
        <f>+R8+R12+R17+R21</f>
        <v>#REF!</v>
      </c>
      <c r="S23" s="241" t="e">
        <f>(P23*(100+AR23)/100)</f>
        <v>#REF!</v>
      </c>
      <c r="T23" s="241" t="e">
        <f>+T8+T12+T17+T21</f>
        <v>#REF!</v>
      </c>
      <c r="U23" s="241" t="e">
        <f>+U8+U12+U17+U21</f>
        <v>#REF!</v>
      </c>
      <c r="V23" s="255"/>
      <c r="W23" s="48"/>
      <c r="X23" s="98">
        <f t="shared" si="0"/>
        <v>-6.5897591719430215</v>
      </c>
      <c r="Y23" s="98">
        <f t="shared" si="1"/>
        <v>7.2919341083613975</v>
      </c>
      <c r="Z23" s="98">
        <f t="shared" si="2"/>
        <v>19.090200800671187</v>
      </c>
      <c r="AA23" s="98" t="e">
        <f t="shared" si="3"/>
        <v>#REF!</v>
      </c>
      <c r="AB23" s="59" t="e">
        <f t="shared" si="4"/>
        <v>#REF!</v>
      </c>
      <c r="AC23" s="59" t="e">
        <f t="shared" si="5"/>
        <v>#REF!</v>
      </c>
      <c r="AD23" s="59" t="e">
        <f t="shared" si="6"/>
        <v>#REF!</v>
      </c>
      <c r="AE23" s="59" t="e">
        <f t="shared" si="7"/>
        <v>#REF!</v>
      </c>
      <c r="AF23" s="59" t="e">
        <f t="shared" si="8"/>
        <v>#REF!</v>
      </c>
      <c r="AG23" s="59" t="e">
        <f t="shared" si="9"/>
        <v>#REF!</v>
      </c>
      <c r="AH23" s="239"/>
      <c r="AI23" s="239"/>
      <c r="AJ23" s="239"/>
      <c r="AK23" s="242"/>
      <c r="AL23" s="59" t="e">
        <f t="shared" si="34"/>
        <v>#REF!</v>
      </c>
      <c r="AM23" s="326" t="e">
        <f>((N23/M23)-1)*100</f>
        <v>#REF!</v>
      </c>
      <c r="AN23" s="326" t="e">
        <f>((O23/N23)-1)*100</f>
        <v>#REF!</v>
      </c>
      <c r="AO23" s="326" t="e">
        <f>((P23/O23)-1)*100</f>
        <v>#REF!</v>
      </c>
      <c r="AP23" s="326">
        <v>15</v>
      </c>
      <c r="AQ23" s="59" t="e">
        <f t="shared" si="14"/>
        <v>#REF!</v>
      </c>
      <c r="AR23" s="326">
        <v>15</v>
      </c>
      <c r="AS23" s="326" t="e">
        <f t="shared" si="16"/>
        <v>#REF!</v>
      </c>
      <c r="AT23" s="326" t="e">
        <f t="shared" si="17"/>
        <v>#REF!</v>
      </c>
      <c r="AU23" s="60"/>
      <c r="AV23" s="59">
        <f t="shared" si="18"/>
        <v>100</v>
      </c>
      <c r="AW23" s="59">
        <f t="shared" si="19"/>
        <v>100</v>
      </c>
      <c r="AX23" s="59">
        <f t="shared" si="20"/>
        <v>100</v>
      </c>
      <c r="AY23" s="59">
        <f t="shared" si="21"/>
        <v>100</v>
      </c>
      <c r="AZ23" s="59" t="e">
        <f t="shared" si="22"/>
        <v>#REF!</v>
      </c>
      <c r="BA23" s="59" t="e">
        <f t="shared" si="23"/>
        <v>#REF!</v>
      </c>
      <c r="BB23" s="59" t="e">
        <f t="shared" si="24"/>
        <v>#REF!</v>
      </c>
      <c r="BC23" s="59" t="e">
        <f t="shared" si="25"/>
        <v>#REF!</v>
      </c>
      <c r="BD23" s="59" t="e">
        <f t="shared" si="26"/>
        <v>#REF!</v>
      </c>
      <c r="BE23" s="59" t="e">
        <f t="shared" si="27"/>
        <v>#REF!</v>
      </c>
      <c r="BF23" s="327" t="e">
        <f>AVERAGE(BB23:BD23)</f>
        <v>#REF!</v>
      </c>
      <c r="BG23" s="327" t="e">
        <f t="shared" si="28"/>
        <v>#REF!</v>
      </c>
      <c r="BH23" s="327" t="e">
        <f t="shared" si="29"/>
        <v>#REF!</v>
      </c>
      <c r="BI23" s="327" t="e">
        <f t="shared" si="30"/>
        <v>#REF!</v>
      </c>
      <c r="BJ23" s="327" t="e">
        <f t="shared" si="31"/>
        <v>#REF!</v>
      </c>
      <c r="BK23" s="239" t="e">
        <f t="shared" si="36"/>
        <v>#REF!</v>
      </c>
      <c r="BL23" s="239"/>
      <c r="BM23" s="327" t="e">
        <f t="shared" si="32"/>
        <v>#REF!</v>
      </c>
      <c r="BN23" s="327" t="e">
        <f t="shared" si="33"/>
        <v>#REF!</v>
      </c>
    </row>
    <row r="24" spans="1:66" ht="17.55" hidden="1" customHeight="1">
      <c r="A24" s="49" t="s">
        <v>32</v>
      </c>
      <c r="B24" s="55">
        <f t="shared" ref="B24:O24" si="49">+B5+B6+B7+B9+B10+B11+B14+B15+B16+B18+B19</f>
        <v>53293.72</v>
      </c>
      <c r="C24" s="55">
        <f t="shared" si="49"/>
        <v>49813.969999999994</v>
      </c>
      <c r="D24" s="55">
        <f t="shared" si="49"/>
        <v>53120.7</v>
      </c>
      <c r="E24" s="55">
        <f t="shared" si="49"/>
        <v>63707.27</v>
      </c>
      <c r="F24" s="55" t="e">
        <f t="shared" si="49"/>
        <v>#REF!</v>
      </c>
      <c r="G24" s="55" t="e">
        <f t="shared" si="49"/>
        <v>#REF!</v>
      </c>
      <c r="H24" s="55" t="e">
        <f t="shared" si="49"/>
        <v>#REF!</v>
      </c>
      <c r="I24" s="55" t="e">
        <f t="shared" si="49"/>
        <v>#REF!</v>
      </c>
      <c r="J24" s="55" t="e">
        <f t="shared" si="49"/>
        <v>#REF!</v>
      </c>
      <c r="K24" s="55" t="e">
        <f t="shared" si="49"/>
        <v>#REF!</v>
      </c>
      <c r="L24" s="55" t="e">
        <f t="shared" si="49"/>
        <v>#REF!</v>
      </c>
      <c r="M24" s="55" t="e">
        <f t="shared" si="49"/>
        <v>#REF!</v>
      </c>
      <c r="N24" s="55" t="e">
        <f t="shared" si="49"/>
        <v>#REF!</v>
      </c>
      <c r="O24" s="55" t="e">
        <f t="shared" si="49"/>
        <v>#REF!</v>
      </c>
      <c r="P24" s="70"/>
      <c r="Q24" s="70"/>
      <c r="R24" s="70"/>
      <c r="S24" s="70"/>
      <c r="T24" s="70"/>
      <c r="U24" s="70"/>
      <c r="V24" s="70"/>
      <c r="W24" s="48"/>
      <c r="X24" s="98">
        <f t="shared" si="0"/>
        <v>-6.5293809476989146</v>
      </c>
      <c r="Y24" s="98">
        <f t="shared" si="1"/>
        <v>6.6381579303958382</v>
      </c>
      <c r="Z24" s="98">
        <f t="shared" si="2"/>
        <v>19.929274275376653</v>
      </c>
      <c r="AA24" s="98" t="e">
        <f t="shared" si="3"/>
        <v>#REF!</v>
      </c>
      <c r="AB24" s="59" t="e">
        <f t="shared" si="4"/>
        <v>#REF!</v>
      </c>
      <c r="AC24" s="59" t="e">
        <f t="shared" si="5"/>
        <v>#REF!</v>
      </c>
      <c r="AD24" s="59" t="e">
        <f t="shared" si="6"/>
        <v>#REF!</v>
      </c>
      <c r="AE24" s="59" t="e">
        <f t="shared" si="7"/>
        <v>#REF!</v>
      </c>
      <c r="AF24" s="59" t="e">
        <f t="shared" si="8"/>
        <v>#REF!</v>
      </c>
      <c r="AG24" s="59" t="e">
        <f t="shared" si="9"/>
        <v>#REF!</v>
      </c>
      <c r="AH24" s="239"/>
      <c r="AI24" s="239"/>
      <c r="AJ24" s="239"/>
      <c r="AK24" s="242"/>
      <c r="AL24" s="59" t="e">
        <f t="shared" si="34"/>
        <v>#REF!</v>
      </c>
      <c r="AM24" s="327" t="e">
        <f t="shared" ref="AM24:AN27" si="50">((N24/M24)-1)*100</f>
        <v>#REF!</v>
      </c>
      <c r="AN24" s="325" t="e">
        <f t="shared" si="50"/>
        <v>#REF!</v>
      </c>
      <c r="AO24" s="325"/>
      <c r="AP24" s="325"/>
      <c r="AQ24" s="59" t="e">
        <f t="shared" si="14"/>
        <v>#DIV/0!</v>
      </c>
      <c r="AR24" s="325"/>
      <c r="AS24" s="325"/>
      <c r="AT24" s="325"/>
      <c r="AU24" s="60"/>
      <c r="AV24" s="59">
        <f t="shared" si="18"/>
        <v>91.359383825769285</v>
      </c>
      <c r="AW24" s="59">
        <f t="shared" si="19"/>
        <v>91.418436423370338</v>
      </c>
      <c r="AX24" s="59">
        <f t="shared" si="20"/>
        <v>90.861384334999045</v>
      </c>
      <c r="AY24" s="59">
        <f t="shared" si="21"/>
        <v>91.501566121224457</v>
      </c>
      <c r="AZ24" s="59" t="e">
        <f t="shared" si="22"/>
        <v>#REF!</v>
      </c>
      <c r="BA24" s="59" t="e">
        <f t="shared" si="23"/>
        <v>#REF!</v>
      </c>
      <c r="BB24" s="59" t="e">
        <f t="shared" si="24"/>
        <v>#REF!</v>
      </c>
      <c r="BC24" s="59" t="e">
        <f t="shared" si="25"/>
        <v>#REF!</v>
      </c>
      <c r="BD24" s="59" t="e">
        <f t="shared" si="26"/>
        <v>#REF!</v>
      </c>
      <c r="BE24" s="59" t="e">
        <f t="shared" si="27"/>
        <v>#REF!</v>
      </c>
      <c r="BF24" s="327" t="e">
        <f>AVERAGE(BB24:BD24)</f>
        <v>#REF!</v>
      </c>
      <c r="BG24" s="327" t="e">
        <f t="shared" ref="BG24:BI27" si="51">+(M24/M$23)*100</f>
        <v>#REF!</v>
      </c>
      <c r="BH24" s="327" t="e">
        <f t="shared" si="51"/>
        <v>#REF!</v>
      </c>
      <c r="BI24" s="327" t="e">
        <f t="shared" si="51"/>
        <v>#REF!</v>
      </c>
      <c r="BJ24" s="327" t="e">
        <f>+(#REF!/#REF!)*100</f>
        <v>#REF!</v>
      </c>
      <c r="BK24" s="239" t="e">
        <f t="shared" si="36"/>
        <v>#REF!</v>
      </c>
      <c r="BL24" s="260"/>
      <c r="BM24" s="328"/>
      <c r="BN24" s="328"/>
    </row>
    <row r="25" spans="1:66" ht="17.55" hidden="1" customHeight="1">
      <c r="A25" s="49" t="s">
        <v>32</v>
      </c>
      <c r="B25" s="116">
        <f t="shared" ref="B25:J25" si="52">+B23-B24</f>
        <v>5040.43</v>
      </c>
      <c r="C25" s="116">
        <f t="shared" si="52"/>
        <v>4676.1000000000058</v>
      </c>
      <c r="D25" s="116">
        <f t="shared" si="52"/>
        <v>5342.75</v>
      </c>
      <c r="E25" s="116">
        <f t="shared" si="52"/>
        <v>5916.9699999999939</v>
      </c>
      <c r="F25" s="116" t="e">
        <f t="shared" si="52"/>
        <v>#REF!</v>
      </c>
      <c r="G25" s="116" t="e">
        <f t="shared" si="52"/>
        <v>#REF!</v>
      </c>
      <c r="H25" s="116" t="e">
        <f t="shared" si="52"/>
        <v>#REF!</v>
      </c>
      <c r="I25" s="116" t="e">
        <f t="shared" si="52"/>
        <v>#REF!</v>
      </c>
      <c r="J25" s="116" t="e">
        <f t="shared" si="52"/>
        <v>#REF!</v>
      </c>
      <c r="K25" s="116" t="e">
        <f>+K23-K24</f>
        <v>#REF!</v>
      </c>
      <c r="L25" s="116" t="e">
        <f>+L23-L24</f>
        <v>#REF!</v>
      </c>
      <c r="M25" s="116" t="e">
        <f>+M23-M24</f>
        <v>#REF!</v>
      </c>
      <c r="N25" s="116" t="e">
        <f>+N23-N24</f>
        <v>#REF!</v>
      </c>
      <c r="O25" s="116" t="e">
        <f>+O23-O24</f>
        <v>#REF!</v>
      </c>
      <c r="P25" s="70"/>
      <c r="Q25" s="70"/>
      <c r="R25" s="70"/>
      <c r="S25" s="70"/>
      <c r="T25" s="70"/>
      <c r="U25" s="70"/>
      <c r="V25" s="70"/>
      <c r="W25" s="48"/>
      <c r="X25" s="98">
        <f t="shared" si="0"/>
        <v>-7.2281531535998811</v>
      </c>
      <c r="Y25" s="98">
        <f t="shared" si="1"/>
        <v>14.256538568465027</v>
      </c>
      <c r="Z25" s="98">
        <f t="shared" si="2"/>
        <v>10.747648682794321</v>
      </c>
      <c r="AA25" s="98" t="e">
        <f t="shared" si="3"/>
        <v>#REF!</v>
      </c>
      <c r="AB25" s="59" t="e">
        <f t="shared" si="4"/>
        <v>#REF!</v>
      </c>
      <c r="AC25" s="59" t="e">
        <f t="shared" si="5"/>
        <v>#REF!</v>
      </c>
      <c r="AD25" s="59" t="e">
        <f t="shared" si="6"/>
        <v>#REF!</v>
      </c>
      <c r="AE25" s="59" t="e">
        <f t="shared" si="7"/>
        <v>#REF!</v>
      </c>
      <c r="AF25" s="59" t="e">
        <f t="shared" si="8"/>
        <v>#REF!</v>
      </c>
      <c r="AG25" s="59" t="e">
        <f t="shared" si="9"/>
        <v>#REF!</v>
      </c>
      <c r="AH25" s="239"/>
      <c r="AI25" s="239"/>
      <c r="AJ25" s="239"/>
      <c r="AK25" s="242"/>
      <c r="AL25" s="59" t="e">
        <f t="shared" si="34"/>
        <v>#REF!</v>
      </c>
      <c r="AM25" s="327" t="e">
        <f t="shared" si="50"/>
        <v>#REF!</v>
      </c>
      <c r="AN25" s="327" t="e">
        <f t="shared" si="50"/>
        <v>#REF!</v>
      </c>
      <c r="AO25" s="328"/>
      <c r="AP25" s="328"/>
      <c r="AQ25" s="59" t="e">
        <f t="shared" si="14"/>
        <v>#DIV/0!</v>
      </c>
      <c r="AR25" s="328"/>
      <c r="AS25" s="328"/>
      <c r="AT25" s="328"/>
      <c r="AU25" s="60"/>
      <c r="AV25" s="59">
        <f t="shared" si="18"/>
        <v>8.6406161742307042</v>
      </c>
      <c r="AW25" s="59">
        <f t="shared" si="19"/>
        <v>8.5815635766296605</v>
      </c>
      <c r="AX25" s="59">
        <f t="shared" si="20"/>
        <v>9.1386156650009536</v>
      </c>
      <c r="AY25" s="59">
        <f t="shared" si="21"/>
        <v>8.4984338787755451</v>
      </c>
      <c r="AZ25" s="59" t="e">
        <f t="shared" si="22"/>
        <v>#REF!</v>
      </c>
      <c r="BA25" s="59" t="e">
        <f t="shared" si="23"/>
        <v>#REF!</v>
      </c>
      <c r="BB25" s="59" t="e">
        <f t="shared" si="24"/>
        <v>#REF!</v>
      </c>
      <c r="BC25" s="59" t="e">
        <f t="shared" si="25"/>
        <v>#REF!</v>
      </c>
      <c r="BD25" s="59" t="e">
        <f t="shared" si="26"/>
        <v>#REF!</v>
      </c>
      <c r="BE25" s="59" t="e">
        <f t="shared" si="27"/>
        <v>#REF!</v>
      </c>
      <c r="BF25" s="327" t="e">
        <f>AVERAGE(BB25:BD25)</f>
        <v>#REF!</v>
      </c>
      <c r="BG25" s="327" t="e">
        <f t="shared" si="51"/>
        <v>#REF!</v>
      </c>
      <c r="BH25" s="327" t="e">
        <f t="shared" si="51"/>
        <v>#REF!</v>
      </c>
      <c r="BI25" s="327" t="e">
        <f t="shared" si="51"/>
        <v>#REF!</v>
      </c>
      <c r="BJ25" s="327" t="e">
        <f>+(#REF!/#REF!)*100</f>
        <v>#REF!</v>
      </c>
      <c r="BK25" s="239" t="e">
        <f t="shared" si="36"/>
        <v>#REF!</v>
      </c>
      <c r="BL25" s="260"/>
      <c r="BM25" s="328"/>
      <c r="BN25" s="328"/>
    </row>
    <row r="26" spans="1:66" ht="17.55" customHeight="1">
      <c r="A26" s="49" t="s">
        <v>28</v>
      </c>
      <c r="B26" s="90">
        <f t="shared" ref="B26:L26" si="53">+B5+B6+B7+B9+B10+B11+B14+B15</f>
        <v>37926.43</v>
      </c>
      <c r="C26" s="90">
        <f t="shared" si="53"/>
        <v>35950.339999999997</v>
      </c>
      <c r="D26" s="90">
        <f t="shared" si="53"/>
        <v>37135.839999999997</v>
      </c>
      <c r="E26" s="90">
        <f t="shared" si="53"/>
        <v>45089.29</v>
      </c>
      <c r="F26" s="90" t="e">
        <f t="shared" si="53"/>
        <v>#REF!</v>
      </c>
      <c r="G26" s="90" t="e">
        <f t="shared" si="53"/>
        <v>#REF!</v>
      </c>
      <c r="H26" s="90" t="e">
        <f t="shared" si="53"/>
        <v>#REF!</v>
      </c>
      <c r="I26" s="90" t="e">
        <f t="shared" si="53"/>
        <v>#REF!</v>
      </c>
      <c r="J26" s="90" t="e">
        <f t="shared" si="53"/>
        <v>#REF!</v>
      </c>
      <c r="K26" s="90" t="e">
        <f t="shared" si="53"/>
        <v>#REF!</v>
      </c>
      <c r="L26" s="90" t="e">
        <f t="shared" si="53"/>
        <v>#REF!</v>
      </c>
      <c r="M26" s="90" t="e">
        <f>+M5+M6+M7+M9+M10+M11+M14+M15+M16+M18+M19</f>
        <v>#REF!</v>
      </c>
      <c r="N26" s="90" t="e">
        <f t="shared" ref="N26:U26" si="54">+N5+N6+N7+N9+N10+N11+N14+N15+N16+N18+N19</f>
        <v>#REF!</v>
      </c>
      <c r="O26" s="90" t="e">
        <f t="shared" si="54"/>
        <v>#REF!</v>
      </c>
      <c r="P26" s="90" t="e">
        <f t="shared" si="54"/>
        <v>#REF!</v>
      </c>
      <c r="Q26" s="90" t="e">
        <f t="shared" si="54"/>
        <v>#REF!</v>
      </c>
      <c r="R26" s="90" t="e">
        <f t="shared" ref="R26" si="55">+R5+R6+R7+R9+R10+R11+R14+R15+R16+R18+R19</f>
        <v>#REF!</v>
      </c>
      <c r="S26" s="90" t="e">
        <f t="shared" si="54"/>
        <v>#REF!</v>
      </c>
      <c r="T26" s="90" t="e">
        <f t="shared" si="54"/>
        <v>#REF!</v>
      </c>
      <c r="U26" s="90" t="e">
        <f t="shared" si="54"/>
        <v>#REF!</v>
      </c>
      <c r="V26" s="70"/>
      <c r="W26" s="48"/>
      <c r="X26" s="98">
        <f t="shared" si="0"/>
        <v>-5.2103243041857761</v>
      </c>
      <c r="Y26" s="98">
        <f t="shared" si="1"/>
        <v>3.2976044176494579</v>
      </c>
      <c r="Z26" s="98">
        <f t="shared" si="2"/>
        <v>21.417180815083235</v>
      </c>
      <c r="AA26" s="98" t="e">
        <f t="shared" si="3"/>
        <v>#REF!</v>
      </c>
      <c r="AB26" s="59" t="e">
        <f t="shared" si="4"/>
        <v>#REF!</v>
      </c>
      <c r="AC26" s="59" t="e">
        <f t="shared" si="5"/>
        <v>#REF!</v>
      </c>
      <c r="AD26" s="59" t="e">
        <f t="shared" si="6"/>
        <v>#REF!</v>
      </c>
      <c r="AE26" s="59" t="e">
        <f t="shared" si="7"/>
        <v>#REF!</v>
      </c>
      <c r="AF26" s="59" t="e">
        <f t="shared" si="8"/>
        <v>#REF!</v>
      </c>
      <c r="AG26" s="59" t="e">
        <f t="shared" si="9"/>
        <v>#REF!</v>
      </c>
      <c r="AH26" s="239"/>
      <c r="AI26" s="239"/>
      <c r="AJ26" s="239"/>
      <c r="AK26" s="242"/>
      <c r="AL26" s="59" t="e">
        <f t="shared" si="34"/>
        <v>#REF!</v>
      </c>
      <c r="AM26" s="327" t="e">
        <f t="shared" si="50"/>
        <v>#REF!</v>
      </c>
      <c r="AN26" s="327" t="e">
        <f t="shared" si="50"/>
        <v>#REF!</v>
      </c>
      <c r="AO26" s="327" t="e">
        <f>((P26/O26)-1)*100</f>
        <v>#REF!</v>
      </c>
      <c r="AP26" s="327"/>
      <c r="AQ26" s="59" t="e">
        <f t="shared" si="14"/>
        <v>#REF!</v>
      </c>
      <c r="AR26" s="327" t="e">
        <f>((S26/P26)-1)*100</f>
        <v>#REF!</v>
      </c>
      <c r="AS26" s="327" t="e">
        <f>((T26/P26)-1)*100</f>
        <v>#REF!</v>
      </c>
      <c r="AT26" s="327" t="e">
        <f>((U26/P26)-1)*100</f>
        <v>#REF!</v>
      </c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328"/>
      <c r="BG26" s="327" t="e">
        <f t="shared" si="51"/>
        <v>#REF!</v>
      </c>
      <c r="BH26" s="327" t="e">
        <f t="shared" si="51"/>
        <v>#REF!</v>
      </c>
      <c r="BI26" s="327" t="e">
        <f t="shared" si="51"/>
        <v>#REF!</v>
      </c>
      <c r="BJ26" s="327" t="e">
        <f>+(P26/P$23)*100</f>
        <v>#REF!</v>
      </c>
      <c r="BK26" s="239" t="e">
        <f t="shared" si="36"/>
        <v>#REF!</v>
      </c>
      <c r="BL26" s="239"/>
      <c r="BM26" s="327" t="e">
        <f>+(T26/T$23)*100</f>
        <v>#REF!</v>
      </c>
      <c r="BN26" s="327" t="e">
        <f>+(U26/U$23)*100</f>
        <v>#REF!</v>
      </c>
    </row>
    <row r="27" spans="1:66" ht="17.55" customHeight="1">
      <c r="A27" s="49" t="s">
        <v>29</v>
      </c>
      <c r="B27" s="55">
        <f t="shared" ref="B27:U27" si="56">+B23-B26</f>
        <v>20407.72</v>
      </c>
      <c r="C27" s="55">
        <f t="shared" si="56"/>
        <v>18539.730000000003</v>
      </c>
      <c r="D27" s="55">
        <f t="shared" si="56"/>
        <v>21327.61</v>
      </c>
      <c r="E27" s="55">
        <f t="shared" si="56"/>
        <v>24534.94999999999</v>
      </c>
      <c r="F27" s="55" t="e">
        <f t="shared" si="56"/>
        <v>#REF!</v>
      </c>
      <c r="G27" s="55" t="e">
        <f t="shared" si="56"/>
        <v>#REF!</v>
      </c>
      <c r="H27" s="55" t="e">
        <f t="shared" si="56"/>
        <v>#REF!</v>
      </c>
      <c r="I27" s="55" t="e">
        <f t="shared" si="56"/>
        <v>#REF!</v>
      </c>
      <c r="J27" s="55" t="e">
        <f t="shared" si="56"/>
        <v>#REF!</v>
      </c>
      <c r="K27" s="55" t="e">
        <f t="shared" si="56"/>
        <v>#REF!</v>
      </c>
      <c r="L27" s="55" t="e">
        <f t="shared" si="56"/>
        <v>#REF!</v>
      </c>
      <c r="M27" s="55" t="e">
        <f t="shared" si="56"/>
        <v>#REF!</v>
      </c>
      <c r="N27" s="55" t="e">
        <f t="shared" si="56"/>
        <v>#REF!</v>
      </c>
      <c r="O27" s="55" t="e">
        <f t="shared" si="56"/>
        <v>#REF!</v>
      </c>
      <c r="P27" s="55" t="e">
        <f t="shared" si="56"/>
        <v>#REF!</v>
      </c>
      <c r="Q27" s="55" t="e">
        <f t="shared" si="56"/>
        <v>#REF!</v>
      </c>
      <c r="R27" s="55" t="e">
        <f t="shared" ref="R27" si="57">+R23-R26</f>
        <v>#REF!</v>
      </c>
      <c r="S27" s="55" t="e">
        <f t="shared" si="56"/>
        <v>#REF!</v>
      </c>
      <c r="T27" s="55" t="e">
        <f t="shared" si="56"/>
        <v>#REF!</v>
      </c>
      <c r="U27" s="55" t="e">
        <f t="shared" si="56"/>
        <v>#REF!</v>
      </c>
      <c r="V27" s="70"/>
      <c r="W27" s="48"/>
      <c r="X27" s="59">
        <f t="shared" si="0"/>
        <v>-9.1533498107578826</v>
      </c>
      <c r="Y27" s="59">
        <f t="shared" si="1"/>
        <v>15.037327943826572</v>
      </c>
      <c r="Z27" s="59">
        <f t="shared" si="2"/>
        <v>15.03844078169092</v>
      </c>
      <c r="AA27" s="59" t="e">
        <f t="shared" si="3"/>
        <v>#REF!</v>
      </c>
      <c r="AB27" s="59" t="e">
        <f t="shared" si="4"/>
        <v>#REF!</v>
      </c>
      <c r="AC27" s="59" t="e">
        <f t="shared" si="5"/>
        <v>#REF!</v>
      </c>
      <c r="AD27" s="59" t="e">
        <f t="shared" si="6"/>
        <v>#REF!</v>
      </c>
      <c r="AE27" s="59" t="e">
        <f t="shared" si="7"/>
        <v>#REF!</v>
      </c>
      <c r="AF27" s="59" t="e">
        <f t="shared" si="8"/>
        <v>#REF!</v>
      </c>
      <c r="AG27" s="59" t="e">
        <f t="shared" si="9"/>
        <v>#REF!</v>
      </c>
      <c r="AH27" s="239"/>
      <c r="AI27" s="239"/>
      <c r="AJ27" s="239"/>
      <c r="AK27" s="242"/>
      <c r="AL27" s="59" t="e">
        <f t="shared" si="34"/>
        <v>#REF!</v>
      </c>
      <c r="AM27" s="327" t="e">
        <f t="shared" si="50"/>
        <v>#REF!</v>
      </c>
      <c r="AN27" s="327" t="e">
        <f t="shared" si="50"/>
        <v>#REF!</v>
      </c>
      <c r="AO27" s="327" t="e">
        <f>((P27/O27)-1)*100</f>
        <v>#REF!</v>
      </c>
      <c r="AP27" s="327"/>
      <c r="AQ27" s="59" t="e">
        <f t="shared" si="14"/>
        <v>#REF!</v>
      </c>
      <c r="AR27" s="327" t="e">
        <f>((S27/P27)-1)*100</f>
        <v>#REF!</v>
      </c>
      <c r="AS27" s="327" t="e">
        <f>((T27/P27)-1)*100</f>
        <v>#REF!</v>
      </c>
      <c r="AT27" s="327" t="e">
        <f>((U27/P27)-1)*100</f>
        <v>#REF!</v>
      </c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328"/>
      <c r="BG27" s="327" t="e">
        <f t="shared" si="51"/>
        <v>#REF!</v>
      </c>
      <c r="BH27" s="327" t="e">
        <f t="shared" si="51"/>
        <v>#REF!</v>
      </c>
      <c r="BI27" s="327" t="e">
        <f t="shared" si="51"/>
        <v>#REF!</v>
      </c>
      <c r="BJ27" s="327" t="e">
        <f>+(P27/P$23)*100</f>
        <v>#REF!</v>
      </c>
      <c r="BK27" s="239" t="e">
        <f>AVERAGE(BH27,BI27,BJ27)</f>
        <v>#REF!</v>
      </c>
      <c r="BL27" s="239"/>
      <c r="BM27" s="327" t="e">
        <f>+(T27/T$23)*100</f>
        <v>#REF!</v>
      </c>
      <c r="BN27" s="327" t="e">
        <f>+(U27/U$23)*100</f>
        <v>#REF!</v>
      </c>
    </row>
    <row r="28" spans="1:66" ht="18" customHeight="1">
      <c r="A28" s="63" t="s">
        <v>154</v>
      </c>
      <c r="K28" s="9"/>
      <c r="L28" s="9"/>
      <c r="M28" s="9"/>
      <c r="N28" s="9"/>
      <c r="O28" s="9"/>
      <c r="P28" s="118"/>
      <c r="Q28" s="118"/>
      <c r="R28" s="118"/>
      <c r="S28" s="118"/>
      <c r="T28" s="29"/>
      <c r="U28" s="118"/>
      <c r="V28" s="118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</row>
    <row r="29" spans="1:66" ht="17.55" customHeight="1">
      <c r="A29" s="63" t="s">
        <v>155</v>
      </c>
      <c r="M29" s="102"/>
      <c r="N29" s="31"/>
      <c r="O29" s="53"/>
      <c r="P29" s="119"/>
      <c r="Q29" s="119"/>
      <c r="R29" s="119"/>
      <c r="S29" s="119"/>
      <c r="T29" s="119"/>
      <c r="U29" s="119"/>
      <c r="V29" s="119"/>
      <c r="AF29" s="113"/>
      <c r="AG29" s="113"/>
      <c r="AH29" s="8"/>
      <c r="AI29" s="8"/>
      <c r="AJ29" s="8"/>
      <c r="AK29" s="8"/>
      <c r="AL29" s="395" t="s">
        <v>156</v>
      </c>
      <c r="AM29" s="396"/>
      <c r="AN29" s="395" t="s">
        <v>157</v>
      </c>
      <c r="AO29" s="396"/>
      <c r="AP29" s="303"/>
      <c r="AQ29" s="395" t="s">
        <v>158</v>
      </c>
      <c r="AR29" s="398"/>
      <c r="AS29" s="396"/>
      <c r="AT29" s="8"/>
      <c r="BG29" s="113"/>
    </row>
    <row r="30" spans="1:66" ht="17.55" customHeight="1">
      <c r="A30" s="63"/>
      <c r="M30" s="102"/>
      <c r="N30" s="31"/>
      <c r="O30" s="53"/>
      <c r="P30" s="70"/>
      <c r="Q30" s="70"/>
      <c r="R30" s="70"/>
      <c r="S30" s="70"/>
      <c r="T30" s="70"/>
      <c r="U30" s="70"/>
      <c r="V30" s="70"/>
      <c r="AF30" s="113"/>
      <c r="AG30" s="113"/>
      <c r="AH30" s="8"/>
      <c r="AI30" s="120"/>
      <c r="AJ30" s="120"/>
      <c r="AK30" s="120"/>
      <c r="AL30" s="299" t="s">
        <v>159</v>
      </c>
      <c r="AM30" s="126" t="s">
        <v>160</v>
      </c>
      <c r="AN30" s="129" t="s">
        <v>160</v>
      </c>
      <c r="AO30" s="130" t="s">
        <v>161</v>
      </c>
      <c r="AP30" s="121" t="s">
        <v>160</v>
      </c>
      <c r="AQ30" s="129" t="s">
        <v>160</v>
      </c>
      <c r="AR30" s="124" t="s">
        <v>161</v>
      </c>
      <c r="AS30" s="300" t="s">
        <v>159</v>
      </c>
      <c r="AT30" s="113"/>
      <c r="BG30" s="112"/>
    </row>
    <row r="31" spans="1:66" ht="17.55" customHeight="1">
      <c r="A31" s="63" t="s">
        <v>162</v>
      </c>
      <c r="O31" s="114"/>
      <c r="P31" s="51"/>
      <c r="Q31" s="51"/>
      <c r="R31" s="51"/>
      <c r="S31" s="51"/>
      <c r="T31" s="51"/>
      <c r="U31" s="51"/>
      <c r="V31" s="51"/>
      <c r="AH31" s="329"/>
      <c r="AI31" s="329"/>
      <c r="AJ31" s="329"/>
      <c r="AK31" s="329"/>
      <c r="AL31" s="330">
        <v>15</v>
      </c>
      <c r="AM31" s="331" t="e">
        <f>+$P$23*(100+AL31)/100</f>
        <v>#REF!</v>
      </c>
      <c r="AN31" s="332" t="e">
        <f>+U26</f>
        <v>#REF!</v>
      </c>
      <c r="AO31" s="331" t="e">
        <f>+AN31/11</f>
        <v>#REF!</v>
      </c>
      <c r="AP31" s="333"/>
      <c r="AQ31" s="334" t="e">
        <f>+AM31-AN31</f>
        <v>#REF!</v>
      </c>
      <c r="AR31" s="333" t="e">
        <f>+AQ31/2</f>
        <v>#REF!</v>
      </c>
      <c r="AS31" s="335" t="e">
        <f>((AQ31/$P$27)-1)*100</f>
        <v>#REF!</v>
      </c>
      <c r="AT31" s="336"/>
      <c r="BG31" s="112"/>
    </row>
    <row r="32" spans="1:66" ht="17.55" customHeight="1">
      <c r="A32" s="49" t="s">
        <v>32</v>
      </c>
      <c r="B32" s="55">
        <f t="shared" ref="B32:U32" si="58">+B23/12</f>
        <v>4861.1791666666668</v>
      </c>
      <c r="C32" s="55">
        <f t="shared" si="58"/>
        <v>4540.8391666666666</v>
      </c>
      <c r="D32" s="55">
        <f t="shared" si="58"/>
        <v>4871.9541666666664</v>
      </c>
      <c r="E32" s="55">
        <f t="shared" si="58"/>
        <v>5802.0199999999995</v>
      </c>
      <c r="F32" s="55" t="e">
        <f t="shared" si="58"/>
        <v>#REF!</v>
      </c>
      <c r="G32" s="55" t="e">
        <f t="shared" si="58"/>
        <v>#REF!</v>
      </c>
      <c r="H32" s="55" t="e">
        <f t="shared" si="58"/>
        <v>#REF!</v>
      </c>
      <c r="I32" s="55" t="e">
        <f t="shared" si="58"/>
        <v>#REF!</v>
      </c>
      <c r="J32" s="55" t="e">
        <f t="shared" si="58"/>
        <v>#REF!</v>
      </c>
      <c r="K32" s="55" t="e">
        <f t="shared" si="58"/>
        <v>#REF!</v>
      </c>
      <c r="L32" s="55">
        <f t="shared" si="58"/>
        <v>12163.5</v>
      </c>
      <c r="M32" s="55" t="e">
        <f t="shared" si="58"/>
        <v>#REF!</v>
      </c>
      <c r="N32" s="55" t="e">
        <f t="shared" si="58"/>
        <v>#REF!</v>
      </c>
      <c r="O32" s="55" t="e">
        <f t="shared" si="58"/>
        <v>#REF!</v>
      </c>
      <c r="P32" s="55" t="e">
        <f t="shared" si="58"/>
        <v>#REF!</v>
      </c>
      <c r="Q32" s="55" t="e">
        <f t="shared" si="58"/>
        <v>#REF!</v>
      </c>
      <c r="R32" s="55" t="e">
        <f t="shared" ref="R32" si="59">+R23/12</f>
        <v>#REF!</v>
      </c>
      <c r="S32" s="55" t="e">
        <f t="shared" si="58"/>
        <v>#REF!</v>
      </c>
      <c r="T32" s="55" t="e">
        <f t="shared" si="58"/>
        <v>#REF!</v>
      </c>
      <c r="U32" s="55" t="e">
        <f t="shared" si="58"/>
        <v>#REF!</v>
      </c>
      <c r="V32" s="70"/>
      <c r="AC32" s="74"/>
      <c r="AF32" s="112"/>
      <c r="AG32" s="112"/>
      <c r="AH32" s="8"/>
      <c r="AI32" s="120"/>
      <c r="AJ32" s="120"/>
      <c r="AK32" s="120"/>
      <c r="AL32" s="127">
        <v>16</v>
      </c>
      <c r="AM32" s="128" t="e">
        <f>+$P$23*(100+AL32)/100</f>
        <v>#REF!</v>
      </c>
      <c r="AN32" s="131" t="e">
        <f t="shared" ref="AN32:AN37" si="60">+AN31</f>
        <v>#REF!</v>
      </c>
      <c r="AO32" s="331" t="e">
        <f t="shared" ref="AO32:AO37" si="61">+AN32/11</f>
        <v>#REF!</v>
      </c>
      <c r="AP32" s="125"/>
      <c r="AQ32" s="131" t="e">
        <f>+AM32-AN32</f>
        <v>#REF!</v>
      </c>
      <c r="AR32" s="125" t="e">
        <f t="shared" ref="AR32:AR37" si="62">+AQ32/2</f>
        <v>#REF!</v>
      </c>
      <c r="AS32" s="258" t="e">
        <f t="shared" ref="AS32:AS37" si="63">((AQ32/$P$27)-1)*100</f>
        <v>#REF!</v>
      </c>
      <c r="AT32" s="119"/>
      <c r="BG32" s="112"/>
    </row>
    <row r="33" spans="1:59" ht="18" hidden="1" customHeight="1">
      <c r="A33" s="49" t="s">
        <v>28</v>
      </c>
      <c r="B33" s="55">
        <f t="shared" ref="B33:N33" si="64">+B24/11</f>
        <v>4844.8836363636365</v>
      </c>
      <c r="C33" s="55">
        <f t="shared" si="64"/>
        <v>4528.5427272727266</v>
      </c>
      <c r="D33" s="55">
        <f t="shared" si="64"/>
        <v>4829.1545454545449</v>
      </c>
      <c r="E33" s="55">
        <f t="shared" si="64"/>
        <v>5791.57</v>
      </c>
      <c r="F33" s="55" t="e">
        <f t="shared" si="64"/>
        <v>#REF!</v>
      </c>
      <c r="G33" s="55" t="e">
        <f t="shared" si="64"/>
        <v>#REF!</v>
      </c>
      <c r="H33" s="55" t="e">
        <f t="shared" si="64"/>
        <v>#REF!</v>
      </c>
      <c r="I33" s="55" t="e">
        <f t="shared" si="64"/>
        <v>#REF!</v>
      </c>
      <c r="J33" s="55" t="e">
        <f t="shared" si="64"/>
        <v>#REF!</v>
      </c>
      <c r="K33" s="55" t="e">
        <f>+K24/12</f>
        <v>#REF!</v>
      </c>
      <c r="L33" s="55" t="e">
        <f t="shared" si="64"/>
        <v>#REF!</v>
      </c>
      <c r="M33" s="55" t="e">
        <f t="shared" si="64"/>
        <v>#REF!</v>
      </c>
      <c r="N33" s="55" t="e">
        <f t="shared" si="64"/>
        <v>#REF!</v>
      </c>
      <c r="O33" s="55" t="e">
        <f>+O24/11</f>
        <v>#REF!</v>
      </c>
      <c r="P33" s="70"/>
      <c r="Q33" s="70"/>
      <c r="R33" s="70"/>
      <c r="S33" s="70"/>
      <c r="T33" s="70"/>
      <c r="U33" s="70"/>
      <c r="V33" s="70"/>
      <c r="AC33" s="74"/>
      <c r="AF33" s="112"/>
      <c r="AG33" s="112"/>
      <c r="AH33" s="8"/>
      <c r="AI33" s="120"/>
      <c r="AJ33" s="120"/>
      <c r="AK33" s="120"/>
      <c r="AL33" s="127"/>
      <c r="AM33" s="128" t="e">
        <f>+$P$23*(100+#REF!)/100</f>
        <v>#REF!</v>
      </c>
      <c r="AN33" s="131" t="e">
        <f t="shared" si="60"/>
        <v>#REF!</v>
      </c>
      <c r="AO33" s="331" t="e">
        <f t="shared" si="61"/>
        <v>#REF!</v>
      </c>
      <c r="AP33" s="125"/>
      <c r="AQ33" s="131" t="e">
        <f t="shared" ref="AQ33:AQ34" si="65">+AL33-AM33</f>
        <v>#REF!</v>
      </c>
      <c r="AR33" s="125" t="e">
        <f t="shared" si="62"/>
        <v>#REF!</v>
      </c>
      <c r="AS33" s="335" t="e">
        <f t="shared" si="63"/>
        <v>#REF!</v>
      </c>
      <c r="AT33" s="119"/>
      <c r="BG33" s="112"/>
    </row>
    <row r="34" spans="1:59" ht="18" hidden="1" customHeight="1">
      <c r="A34" s="49" t="s">
        <v>29</v>
      </c>
      <c r="B34" s="55">
        <f t="shared" ref="B34:N34" si="66">+B25</f>
        <v>5040.43</v>
      </c>
      <c r="C34" s="55">
        <f t="shared" si="66"/>
        <v>4676.1000000000058</v>
      </c>
      <c r="D34" s="55">
        <f t="shared" si="66"/>
        <v>5342.75</v>
      </c>
      <c r="E34" s="55">
        <f t="shared" si="66"/>
        <v>5916.9699999999939</v>
      </c>
      <c r="F34" s="55" t="e">
        <f t="shared" si="66"/>
        <v>#REF!</v>
      </c>
      <c r="G34" s="55" t="e">
        <f t="shared" si="66"/>
        <v>#REF!</v>
      </c>
      <c r="H34" s="55" t="e">
        <f t="shared" si="66"/>
        <v>#REF!</v>
      </c>
      <c r="I34" s="55" t="e">
        <f t="shared" si="66"/>
        <v>#REF!</v>
      </c>
      <c r="J34" s="55" t="e">
        <f t="shared" si="66"/>
        <v>#REF!</v>
      </c>
      <c r="K34" s="55" t="e">
        <f>+K25/12</f>
        <v>#REF!</v>
      </c>
      <c r="L34" s="55" t="e">
        <f t="shared" si="66"/>
        <v>#REF!</v>
      </c>
      <c r="M34" s="55" t="e">
        <f t="shared" si="66"/>
        <v>#REF!</v>
      </c>
      <c r="N34" s="55" t="e">
        <f t="shared" si="66"/>
        <v>#REF!</v>
      </c>
      <c r="O34" s="55" t="e">
        <f>+O25</f>
        <v>#REF!</v>
      </c>
      <c r="P34" s="70"/>
      <c r="Q34" s="70"/>
      <c r="R34" s="70"/>
      <c r="S34" s="70"/>
      <c r="T34" s="70"/>
      <c r="U34" s="70"/>
      <c r="V34" s="70"/>
      <c r="AC34" s="74"/>
      <c r="AF34" s="112"/>
      <c r="AG34" s="112"/>
      <c r="AH34" s="8"/>
      <c r="AI34" s="120"/>
      <c r="AJ34" s="120"/>
      <c r="AK34" s="120"/>
      <c r="AL34" s="127"/>
      <c r="AM34" s="128" t="e">
        <f>+$P$23*(100+#REF!)/100</f>
        <v>#REF!</v>
      </c>
      <c r="AN34" s="131" t="e">
        <f t="shared" si="60"/>
        <v>#REF!</v>
      </c>
      <c r="AO34" s="331" t="e">
        <f t="shared" si="61"/>
        <v>#REF!</v>
      </c>
      <c r="AP34" s="125"/>
      <c r="AQ34" s="131" t="e">
        <f t="shared" si="65"/>
        <v>#REF!</v>
      </c>
      <c r="AR34" s="125" t="e">
        <f t="shared" si="62"/>
        <v>#REF!</v>
      </c>
      <c r="AS34" s="335" t="e">
        <f t="shared" si="63"/>
        <v>#REF!</v>
      </c>
      <c r="AT34" s="119"/>
      <c r="BG34" s="112"/>
    </row>
    <row r="35" spans="1:59" ht="17.55" customHeight="1">
      <c r="A35" s="49" t="s">
        <v>28</v>
      </c>
      <c r="B35" s="55">
        <f t="shared" ref="B35:L35" si="67">+B26/8</f>
        <v>4740.80375</v>
      </c>
      <c r="C35" s="55">
        <f t="shared" si="67"/>
        <v>4493.7924999999996</v>
      </c>
      <c r="D35" s="55">
        <f t="shared" si="67"/>
        <v>4641.9799999999996</v>
      </c>
      <c r="E35" s="55">
        <f t="shared" si="67"/>
        <v>5636.1612500000001</v>
      </c>
      <c r="F35" s="55" t="e">
        <f t="shared" si="67"/>
        <v>#REF!</v>
      </c>
      <c r="G35" s="55" t="e">
        <f t="shared" si="67"/>
        <v>#REF!</v>
      </c>
      <c r="H35" s="55" t="e">
        <f t="shared" si="67"/>
        <v>#REF!</v>
      </c>
      <c r="I35" s="55" t="e">
        <f t="shared" si="67"/>
        <v>#REF!</v>
      </c>
      <c r="J35" s="55" t="e">
        <f t="shared" si="67"/>
        <v>#REF!</v>
      </c>
      <c r="K35" s="55" t="e">
        <f t="shared" si="67"/>
        <v>#REF!</v>
      </c>
      <c r="L35" s="55" t="e">
        <f t="shared" si="67"/>
        <v>#REF!</v>
      </c>
      <c r="M35" s="55" t="e">
        <f>+M26/11</f>
        <v>#REF!</v>
      </c>
      <c r="N35" s="55" t="e">
        <f t="shared" ref="N35:U35" si="68">+N26/11</f>
        <v>#REF!</v>
      </c>
      <c r="O35" s="55" t="e">
        <f t="shared" si="68"/>
        <v>#REF!</v>
      </c>
      <c r="P35" s="55" t="e">
        <f t="shared" si="68"/>
        <v>#REF!</v>
      </c>
      <c r="Q35" s="55" t="e">
        <f t="shared" si="68"/>
        <v>#REF!</v>
      </c>
      <c r="R35" s="55" t="e">
        <f t="shared" ref="R35" si="69">+R26/11</f>
        <v>#REF!</v>
      </c>
      <c r="S35" s="55" t="e">
        <f t="shared" si="68"/>
        <v>#REF!</v>
      </c>
      <c r="T35" s="55" t="e">
        <f t="shared" si="68"/>
        <v>#REF!</v>
      </c>
      <c r="U35" s="55" t="e">
        <f t="shared" si="68"/>
        <v>#REF!</v>
      </c>
      <c r="V35" s="70"/>
      <c r="AF35" s="112"/>
      <c r="AG35" s="112"/>
      <c r="AH35" s="329"/>
      <c r="AI35" s="328"/>
      <c r="AJ35" s="328"/>
      <c r="AK35" s="328"/>
      <c r="AL35" s="337">
        <v>17</v>
      </c>
      <c r="AM35" s="331" t="e">
        <f>+$P$23*(100+AL35)/100</f>
        <v>#REF!</v>
      </c>
      <c r="AN35" s="332" t="e">
        <f t="shared" si="60"/>
        <v>#REF!</v>
      </c>
      <c r="AO35" s="331" t="e">
        <f t="shared" si="61"/>
        <v>#REF!</v>
      </c>
      <c r="AP35" s="333"/>
      <c r="AQ35" s="332" t="e">
        <f>+AM35-AN35</f>
        <v>#REF!</v>
      </c>
      <c r="AR35" s="333" t="e">
        <f t="shared" si="62"/>
        <v>#REF!</v>
      </c>
      <c r="AS35" s="335" t="e">
        <f t="shared" si="63"/>
        <v>#REF!</v>
      </c>
      <c r="AT35" s="336"/>
      <c r="BG35" s="112"/>
    </row>
    <row r="36" spans="1:59" ht="17.55" customHeight="1">
      <c r="A36" s="49" t="s">
        <v>29</v>
      </c>
      <c r="B36" s="55">
        <f t="shared" ref="B36:L36" si="70">+B27/4</f>
        <v>5101.93</v>
      </c>
      <c r="C36" s="55">
        <f t="shared" si="70"/>
        <v>4634.9325000000008</v>
      </c>
      <c r="D36" s="55">
        <f t="shared" si="70"/>
        <v>5331.9025000000001</v>
      </c>
      <c r="E36" s="55">
        <f t="shared" si="70"/>
        <v>6133.7374999999975</v>
      </c>
      <c r="F36" s="55" t="e">
        <f t="shared" si="70"/>
        <v>#REF!</v>
      </c>
      <c r="G36" s="55" t="e">
        <f t="shared" si="70"/>
        <v>#REF!</v>
      </c>
      <c r="H36" s="55" t="e">
        <f t="shared" si="70"/>
        <v>#REF!</v>
      </c>
      <c r="I36" s="55" t="e">
        <f t="shared" si="70"/>
        <v>#REF!</v>
      </c>
      <c r="J36" s="55" t="e">
        <f t="shared" si="70"/>
        <v>#REF!</v>
      </c>
      <c r="K36" s="55" t="e">
        <f t="shared" si="70"/>
        <v>#REF!</v>
      </c>
      <c r="L36" s="55" t="e">
        <f t="shared" si="70"/>
        <v>#REF!</v>
      </c>
      <c r="M36" s="55" t="e">
        <f>+M27/1</f>
        <v>#REF!</v>
      </c>
      <c r="N36" s="55" t="e">
        <f t="shared" ref="N36:U36" si="71">+N27/1</f>
        <v>#REF!</v>
      </c>
      <c r="O36" s="55" t="e">
        <f t="shared" si="71"/>
        <v>#REF!</v>
      </c>
      <c r="P36" s="55" t="e">
        <f t="shared" si="71"/>
        <v>#REF!</v>
      </c>
      <c r="Q36" s="55" t="e">
        <f t="shared" si="71"/>
        <v>#REF!</v>
      </c>
      <c r="R36" s="55" t="e">
        <f t="shared" ref="R36" si="72">+R27/1</f>
        <v>#REF!</v>
      </c>
      <c r="S36" s="55" t="e">
        <f t="shared" si="71"/>
        <v>#REF!</v>
      </c>
      <c r="T36" s="55" t="e">
        <f t="shared" si="71"/>
        <v>#REF!</v>
      </c>
      <c r="U36" s="55" t="e">
        <f t="shared" si="71"/>
        <v>#REF!</v>
      </c>
      <c r="V36" s="70"/>
      <c r="AH36" s="8"/>
      <c r="AI36" s="120"/>
      <c r="AJ36" s="120"/>
      <c r="AK36" s="120"/>
      <c r="AL36" s="127">
        <v>18</v>
      </c>
      <c r="AM36" s="128" t="e">
        <f>+$P$23*(100+AL36)/100</f>
        <v>#REF!</v>
      </c>
      <c r="AN36" s="131" t="e">
        <f t="shared" si="60"/>
        <v>#REF!</v>
      </c>
      <c r="AO36" s="331" t="e">
        <f t="shared" si="61"/>
        <v>#REF!</v>
      </c>
      <c r="AP36" s="125"/>
      <c r="AQ36" s="131" t="e">
        <f>+AM36-AN36</f>
        <v>#REF!</v>
      </c>
      <c r="AR36" s="125" t="e">
        <f t="shared" si="62"/>
        <v>#REF!</v>
      </c>
      <c r="AS36" s="258" t="e">
        <f t="shared" si="63"/>
        <v>#REF!</v>
      </c>
      <c r="AT36" s="119"/>
    </row>
    <row r="37" spans="1:59" ht="17.55" customHeight="1">
      <c r="AH37" s="8"/>
      <c r="AI37" s="120"/>
      <c r="AJ37" s="120"/>
      <c r="AK37" s="120"/>
      <c r="AL37" s="133">
        <v>19</v>
      </c>
      <c r="AM37" s="136" t="e">
        <f>+$P$23*(100+AL37)/100</f>
        <v>#REF!</v>
      </c>
      <c r="AN37" s="137" t="e">
        <f t="shared" si="60"/>
        <v>#REF!</v>
      </c>
      <c r="AO37" s="338" t="e">
        <f t="shared" si="61"/>
        <v>#REF!</v>
      </c>
      <c r="AP37" s="138"/>
      <c r="AQ37" s="137" t="e">
        <f>+AM37-AN37</f>
        <v>#REF!</v>
      </c>
      <c r="AR37" s="138" t="e">
        <f t="shared" si="62"/>
        <v>#REF!</v>
      </c>
      <c r="AS37" s="259" t="e">
        <f t="shared" si="63"/>
        <v>#REF!</v>
      </c>
      <c r="AT37" s="119"/>
    </row>
  </sheetData>
  <mergeCells count="5">
    <mergeCell ref="A1:BK1"/>
    <mergeCell ref="AN29:AO29"/>
    <mergeCell ref="BG2:BN2"/>
    <mergeCell ref="AL29:AM29"/>
    <mergeCell ref="AQ29:AS29"/>
  </mergeCells>
  <printOptions horizontalCentered="1"/>
  <pageMargins left="0.15748031496062992" right="0.15748031496062992" top="0" bottom="0" header="0.19685039370078741" footer="0.19685039370078741"/>
  <pageSetup paperSize="9" orientation="landscape" r:id="rId1"/>
  <headerFooter alignWithMargins="0">
    <oddFooter>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C18"/>
  <sheetViews>
    <sheetView workbookViewId="0"/>
  </sheetViews>
  <sheetFormatPr defaultColWidth="9" defaultRowHeight="19.8"/>
  <cols>
    <col min="2" max="2" width="10" bestFit="1" customWidth="1"/>
  </cols>
  <sheetData>
    <row r="3" spans="1:3">
      <c r="B3" t="s">
        <v>163</v>
      </c>
    </row>
    <row r="4" spans="1:3">
      <c r="A4">
        <v>2540</v>
      </c>
      <c r="B4" s="6">
        <v>58334.15</v>
      </c>
      <c r="C4" s="117" t="e">
        <f>((B4/#REF!)-1)*100</f>
        <v>#REF!</v>
      </c>
    </row>
    <row r="5" spans="1:3">
      <c r="A5">
        <v>2541</v>
      </c>
      <c r="B5" s="6">
        <v>54490.07</v>
      </c>
      <c r="C5" s="117">
        <f t="shared" ref="C5:C15" si="0">((B5/B4)-1)*100</f>
        <v>-6.5897591719430215</v>
      </c>
    </row>
    <row r="6" spans="1:3">
      <c r="A6">
        <v>2542</v>
      </c>
      <c r="B6" s="6">
        <v>58463.45</v>
      </c>
      <c r="C6" s="117">
        <f t="shared" si="0"/>
        <v>7.2919341083613975</v>
      </c>
    </row>
    <row r="7" spans="1:3">
      <c r="A7">
        <v>2543</v>
      </c>
      <c r="B7" s="6">
        <v>69624.240000000005</v>
      </c>
      <c r="C7" s="117">
        <f t="shared" si="0"/>
        <v>19.090200800671209</v>
      </c>
    </row>
    <row r="8" spans="1:3">
      <c r="A8">
        <v>2544</v>
      </c>
      <c r="B8" s="6">
        <v>65183.23</v>
      </c>
      <c r="C8" s="117">
        <f t="shared" si="0"/>
        <v>-6.3785400027346784</v>
      </c>
    </row>
    <row r="9" spans="1:3">
      <c r="A9">
        <v>2545</v>
      </c>
      <c r="B9" s="6">
        <v>68156.34</v>
      </c>
      <c r="C9" s="117">
        <f t="shared" si="0"/>
        <v>4.5611578315465362</v>
      </c>
    </row>
    <row r="10" spans="1:3">
      <c r="A10">
        <v>2546</v>
      </c>
      <c r="B10" s="6">
        <v>80040</v>
      </c>
      <c r="C10" s="117">
        <f t="shared" si="0"/>
        <v>17.435883440924215</v>
      </c>
    </row>
    <row r="11" spans="1:3">
      <c r="A11">
        <v>2547</v>
      </c>
      <c r="B11" s="6">
        <v>96502.84</v>
      </c>
      <c r="C11" s="117">
        <f t="shared" si="0"/>
        <v>20.568265867066458</v>
      </c>
    </row>
    <row r="12" spans="1:3">
      <c r="A12">
        <v>2548</v>
      </c>
      <c r="B12" s="6">
        <v>110937.66</v>
      </c>
      <c r="C12" s="117">
        <f t="shared" si="0"/>
        <v>14.95792248186687</v>
      </c>
    </row>
    <row r="13" spans="1:3">
      <c r="A13">
        <v>2549</v>
      </c>
      <c r="B13" s="6">
        <v>129720.42</v>
      </c>
      <c r="C13" s="117">
        <f t="shared" si="0"/>
        <v>16.930914172878708</v>
      </c>
    </row>
    <row r="14" spans="1:3">
      <c r="A14">
        <v>2550</v>
      </c>
      <c r="B14" s="6">
        <v>153864.97</v>
      </c>
      <c r="C14" s="117">
        <f t="shared" si="0"/>
        <v>18.612759656498177</v>
      </c>
    </row>
    <row r="15" spans="1:3">
      <c r="A15">
        <v>2551</v>
      </c>
      <c r="B15" s="6">
        <v>177775.19</v>
      </c>
      <c r="C15" s="117">
        <f t="shared" si="0"/>
        <v>15.539742411804337</v>
      </c>
    </row>
    <row r="16" spans="1:3">
      <c r="A16">
        <v>2552</v>
      </c>
      <c r="B16" s="6" t="e">
        <f>+#REF!</f>
        <v>#REF!</v>
      </c>
      <c r="C16" s="117" t="e">
        <f>((B16/B15)-1)*100</f>
        <v>#REF!</v>
      </c>
    </row>
    <row r="17" spans="1:3">
      <c r="A17">
        <v>2553</v>
      </c>
      <c r="B17" s="6" t="e">
        <f>+#REF!</f>
        <v>#REF!</v>
      </c>
      <c r="C17" s="117" t="e">
        <f>((B17/B16)-1)*100</f>
        <v>#REF!</v>
      </c>
    </row>
    <row r="18" spans="1:3">
      <c r="A18">
        <v>2554</v>
      </c>
      <c r="B18" s="6">
        <v>218749</v>
      </c>
      <c r="C18" s="117" t="e">
        <f>((B18/B17)-1)*100</f>
        <v>#REF!</v>
      </c>
    </row>
  </sheetData>
  <phoneticPr fontId="2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120"/>
  <sheetViews>
    <sheetView workbookViewId="0"/>
  </sheetViews>
  <sheetFormatPr defaultColWidth="9" defaultRowHeight="19.8"/>
  <cols>
    <col min="1" max="1" width="7.625" customWidth="1"/>
    <col min="4" max="4" width="11.625" bestFit="1" customWidth="1"/>
    <col min="5" max="5" width="2" customWidth="1"/>
    <col min="8" max="8" width="11.625" bestFit="1" customWidth="1"/>
    <col min="9" max="9" width="1.625" customWidth="1"/>
    <col min="10" max="10" width="8.75" customWidth="1"/>
    <col min="11" max="11" width="8" customWidth="1"/>
    <col min="12" max="12" width="1.625" customWidth="1"/>
    <col min="13" max="14" width="7.375" customWidth="1"/>
    <col min="15" max="15" width="1.375" customWidth="1"/>
    <col min="16" max="16" width="8.375" customWidth="1"/>
    <col min="17" max="17" width="8.625" customWidth="1"/>
    <col min="18" max="18" width="1.375" customWidth="1"/>
    <col min="19" max="20" width="7.375" customWidth="1"/>
  </cols>
  <sheetData>
    <row r="1" spans="1:20" ht="12.45" customHeight="1">
      <c r="A1" s="61" t="s">
        <v>0</v>
      </c>
      <c r="B1" s="13"/>
      <c r="C1" s="13"/>
      <c r="D1" s="13"/>
      <c r="F1" s="384" t="s">
        <v>1</v>
      </c>
      <c r="G1" s="384"/>
      <c r="H1" s="384"/>
    </row>
    <row r="2" spans="1:20" ht="12.45" customHeight="1">
      <c r="A2" s="61"/>
      <c r="B2" s="13"/>
      <c r="C2" s="13"/>
      <c r="D2" s="13"/>
      <c r="F2" s="384" t="s">
        <v>164</v>
      </c>
      <c r="G2" s="384"/>
      <c r="H2" s="384"/>
      <c r="J2" s="384" t="s">
        <v>165</v>
      </c>
      <c r="K2" s="384"/>
      <c r="L2" s="297"/>
      <c r="M2" s="384" t="s">
        <v>166</v>
      </c>
      <c r="N2" s="384"/>
      <c r="P2" s="384" t="s">
        <v>167</v>
      </c>
      <c r="Q2" s="384"/>
      <c r="R2" s="297"/>
      <c r="S2" s="384" t="s">
        <v>166</v>
      </c>
      <c r="T2" s="384"/>
    </row>
    <row r="3" spans="1:20" ht="11.7" customHeight="1">
      <c r="B3" s="17"/>
      <c r="C3" s="17"/>
      <c r="D3" s="17"/>
      <c r="H3" s="99" t="s">
        <v>168</v>
      </c>
    </row>
    <row r="4" spans="1:20" ht="11.7" customHeight="1">
      <c r="A4" s="18"/>
      <c r="B4" s="20" t="s">
        <v>169</v>
      </c>
      <c r="C4" s="20" t="s">
        <v>170</v>
      </c>
      <c r="D4" s="20" t="s">
        <v>171</v>
      </c>
      <c r="F4" s="19" t="s">
        <v>169</v>
      </c>
      <c r="G4" s="19" t="s">
        <v>170</v>
      </c>
      <c r="H4" s="19" t="s">
        <v>171</v>
      </c>
      <c r="J4" s="19" t="s">
        <v>169</v>
      </c>
      <c r="K4" s="19" t="s">
        <v>170</v>
      </c>
      <c r="M4" s="19" t="s">
        <v>169</v>
      </c>
      <c r="N4" s="19" t="s">
        <v>170</v>
      </c>
      <c r="P4" s="19" t="s">
        <v>169</v>
      </c>
      <c r="Q4" s="19" t="s">
        <v>170</v>
      </c>
      <c r="S4" s="19" t="s">
        <v>169</v>
      </c>
      <c r="T4" s="19" t="s">
        <v>170</v>
      </c>
    </row>
    <row r="5" spans="1:20" ht="11.7" hidden="1" customHeight="1">
      <c r="A5" s="32" t="s">
        <v>172</v>
      </c>
      <c r="B5" s="62" t="e">
        <f>+#REF!</f>
        <v>#REF!</v>
      </c>
      <c r="C5" s="62" t="e">
        <f>+#REF!</f>
        <v>#REF!</v>
      </c>
      <c r="D5" s="62" t="e">
        <f>+B5-C5</f>
        <v>#REF!</v>
      </c>
      <c r="F5" s="32" t="s">
        <v>172</v>
      </c>
    </row>
    <row r="6" spans="1:20" ht="11.7" hidden="1" customHeight="1">
      <c r="A6" s="32"/>
      <c r="B6" s="62" t="e">
        <f>+#REF!</f>
        <v>#REF!</v>
      </c>
      <c r="C6" s="62" t="e">
        <f>+#REF!</f>
        <v>#REF!</v>
      </c>
      <c r="D6" s="62" t="e">
        <f t="shared" ref="D6:D70" si="0">+B6-C6</f>
        <v>#REF!</v>
      </c>
      <c r="F6" s="32"/>
    </row>
    <row r="7" spans="1:20" ht="11.7" hidden="1" customHeight="1">
      <c r="A7" s="32"/>
      <c r="B7" s="62" t="e">
        <f>+#REF!</f>
        <v>#REF!</v>
      </c>
      <c r="C7" s="62" t="e">
        <f>+#REF!</f>
        <v>#REF!</v>
      </c>
      <c r="D7" s="62" t="e">
        <f t="shared" si="0"/>
        <v>#REF!</v>
      </c>
      <c r="F7" s="32"/>
    </row>
    <row r="8" spans="1:20" ht="11.7" hidden="1" customHeight="1">
      <c r="A8" s="32"/>
      <c r="B8" s="62" t="e">
        <f>+#REF!</f>
        <v>#REF!</v>
      </c>
      <c r="C8" s="62" t="e">
        <f>+#REF!</f>
        <v>#REF!</v>
      </c>
      <c r="D8" s="62" t="e">
        <f t="shared" si="0"/>
        <v>#REF!</v>
      </c>
      <c r="F8" s="32" t="s">
        <v>10</v>
      </c>
    </row>
    <row r="9" spans="1:20" ht="11.7" hidden="1" customHeight="1">
      <c r="A9" s="32"/>
      <c r="B9" s="62" t="e">
        <f>+#REF!</f>
        <v>#REF!</v>
      </c>
      <c r="C9" s="62" t="e">
        <f>+#REF!</f>
        <v>#REF!</v>
      </c>
      <c r="D9" s="62" t="e">
        <f t="shared" si="0"/>
        <v>#REF!</v>
      </c>
      <c r="F9" s="32"/>
    </row>
    <row r="10" spans="1:20" ht="11.7" hidden="1" customHeight="1">
      <c r="A10" s="32"/>
      <c r="B10" s="62" t="e">
        <f>+#REF!</f>
        <v>#REF!</v>
      </c>
      <c r="C10" s="62" t="e">
        <f>+#REF!</f>
        <v>#REF!</v>
      </c>
      <c r="D10" s="62" t="e">
        <f t="shared" si="0"/>
        <v>#REF!</v>
      </c>
      <c r="F10" s="32"/>
    </row>
    <row r="11" spans="1:20" ht="11.7" hidden="1" customHeight="1">
      <c r="A11" s="32" t="s">
        <v>17</v>
      </c>
      <c r="B11" s="62" t="e">
        <f>+#REF!</f>
        <v>#REF!</v>
      </c>
      <c r="C11" s="62" t="e">
        <f>+#REF!</f>
        <v>#REF!</v>
      </c>
      <c r="D11" s="62" t="e">
        <f t="shared" si="0"/>
        <v>#REF!</v>
      </c>
      <c r="F11" s="32" t="s">
        <v>17</v>
      </c>
    </row>
    <row r="12" spans="1:20" ht="11.7" hidden="1" customHeight="1">
      <c r="A12" s="32"/>
      <c r="B12" s="62" t="e">
        <f>+#REF!</f>
        <v>#REF!</v>
      </c>
      <c r="C12" s="62" t="e">
        <f>+#REF!</f>
        <v>#REF!</v>
      </c>
      <c r="D12" s="62" t="e">
        <f t="shared" si="0"/>
        <v>#REF!</v>
      </c>
      <c r="F12" s="32"/>
    </row>
    <row r="13" spans="1:20" ht="11.7" hidden="1" customHeight="1">
      <c r="A13" s="32"/>
      <c r="B13" s="62" t="e">
        <f>+#REF!</f>
        <v>#REF!</v>
      </c>
      <c r="C13" s="62" t="e">
        <f>+#REF!</f>
        <v>#REF!</v>
      </c>
      <c r="D13" s="62" t="e">
        <f t="shared" si="0"/>
        <v>#REF!</v>
      </c>
      <c r="F13" s="32"/>
    </row>
    <row r="14" spans="1:20" ht="11.7" hidden="1" customHeight="1">
      <c r="A14" s="32"/>
      <c r="B14" s="62" t="e">
        <f>+#REF!</f>
        <v>#REF!</v>
      </c>
      <c r="C14" s="62" t="e">
        <f>+#REF!</f>
        <v>#REF!</v>
      </c>
      <c r="D14" s="62" t="e">
        <f t="shared" si="0"/>
        <v>#REF!</v>
      </c>
      <c r="F14" s="32" t="s">
        <v>25</v>
      </c>
    </row>
    <row r="15" spans="1:20" ht="11.7" hidden="1" customHeight="1">
      <c r="A15" s="32"/>
      <c r="B15" s="62" t="e">
        <f>+#REF!</f>
        <v>#REF!</v>
      </c>
      <c r="C15" s="62" t="e">
        <f>+#REF!</f>
        <v>#REF!</v>
      </c>
      <c r="D15" s="62" t="e">
        <f t="shared" si="0"/>
        <v>#REF!</v>
      </c>
      <c r="F15" s="32"/>
    </row>
    <row r="16" spans="1:20" ht="11.7" hidden="1" customHeight="1">
      <c r="A16" s="32"/>
      <c r="B16" s="62" t="e">
        <f>+#REF!</f>
        <v>#REF!</v>
      </c>
      <c r="C16" s="62" t="e">
        <f>+#REF!</f>
        <v>#REF!</v>
      </c>
      <c r="D16" s="62" t="e">
        <f t="shared" si="0"/>
        <v>#REF!</v>
      </c>
      <c r="F16" s="32"/>
    </row>
    <row r="17" spans="1:20" ht="11.7" customHeight="1">
      <c r="A17" s="32" t="s">
        <v>173</v>
      </c>
      <c r="B17" s="62" t="e">
        <f>+#REF!</f>
        <v>#REF!</v>
      </c>
      <c r="C17" s="62" t="e">
        <f>+#REF!</f>
        <v>#REF!</v>
      </c>
      <c r="D17" s="62" t="e">
        <f t="shared" si="0"/>
        <v>#REF!</v>
      </c>
      <c r="F17" s="32"/>
    </row>
    <row r="18" spans="1:20" ht="11.7" customHeight="1">
      <c r="A18" s="32"/>
      <c r="B18" s="62" t="e">
        <f>+#REF!</f>
        <v>#REF!</v>
      </c>
      <c r="C18" s="62" t="e">
        <f>+#REF!</f>
        <v>#REF!</v>
      </c>
      <c r="D18" s="62" t="e">
        <f t="shared" si="0"/>
        <v>#REF!</v>
      </c>
      <c r="F18" s="32"/>
    </row>
    <row r="19" spans="1:20" ht="11.7" customHeight="1">
      <c r="A19" s="32"/>
      <c r="B19" s="62" t="e">
        <f>+#REF!</f>
        <v>#REF!</v>
      </c>
      <c r="C19" s="62" t="e">
        <f>+#REF!</f>
        <v>#REF!</v>
      </c>
      <c r="D19" s="62" t="e">
        <f t="shared" si="0"/>
        <v>#REF!</v>
      </c>
      <c r="F19" s="32"/>
      <c r="J19" s="62"/>
      <c r="K19" s="62"/>
      <c r="M19" s="62"/>
      <c r="N19" s="62"/>
      <c r="P19" s="62"/>
      <c r="Q19" s="62"/>
      <c r="S19" s="62"/>
      <c r="T19" s="62"/>
    </row>
    <row r="20" spans="1:20" ht="11.7" customHeight="1">
      <c r="A20" s="32"/>
      <c r="B20" s="62" t="e">
        <f>+#REF!</f>
        <v>#REF!</v>
      </c>
      <c r="C20" s="62" t="e">
        <f>+#REF!</f>
        <v>#REF!</v>
      </c>
      <c r="D20" s="62" t="e">
        <f t="shared" si="0"/>
        <v>#REF!</v>
      </c>
      <c r="F20" s="32"/>
      <c r="J20" s="62" t="e">
        <f t="shared" ref="J20:J31" si="1">AVERAGE(B17:B19)</f>
        <v>#REF!</v>
      </c>
      <c r="K20" s="62" t="e">
        <f t="shared" ref="K20:K31" si="2">AVERAGE(C17:C19)</f>
        <v>#REF!</v>
      </c>
      <c r="M20" s="62" t="e">
        <f t="shared" ref="M20:M83" si="3">+B20-J20</f>
        <v>#REF!</v>
      </c>
      <c r="N20" s="62" t="e">
        <f t="shared" ref="N20:N83" si="4">+C20-K20</f>
        <v>#REF!</v>
      </c>
      <c r="P20" s="62"/>
      <c r="Q20" s="62"/>
      <c r="S20" s="62"/>
      <c r="T20" s="62"/>
    </row>
    <row r="21" spans="1:20" ht="11.7" customHeight="1">
      <c r="A21" s="32"/>
      <c r="B21" s="62" t="e">
        <f>+#REF!</f>
        <v>#REF!</v>
      </c>
      <c r="C21" s="62" t="e">
        <f>+#REF!</f>
        <v>#REF!</v>
      </c>
      <c r="D21" s="62" t="e">
        <f t="shared" si="0"/>
        <v>#REF!</v>
      </c>
      <c r="F21" s="32"/>
      <c r="J21" s="62" t="e">
        <f t="shared" si="1"/>
        <v>#REF!</v>
      </c>
      <c r="K21" s="62" t="e">
        <f t="shared" si="2"/>
        <v>#REF!</v>
      </c>
      <c r="M21" s="62" t="e">
        <f t="shared" si="3"/>
        <v>#REF!</v>
      </c>
      <c r="N21" s="62" t="e">
        <f t="shared" si="4"/>
        <v>#REF!</v>
      </c>
      <c r="P21" s="62"/>
      <c r="Q21" s="62"/>
      <c r="S21" s="62"/>
      <c r="T21" s="62"/>
    </row>
    <row r="22" spans="1:20" ht="11.7" customHeight="1">
      <c r="A22" s="32"/>
      <c r="B22" s="62" t="e">
        <f>+#REF!</f>
        <v>#REF!</v>
      </c>
      <c r="C22" s="62" t="e">
        <f>+#REF!</f>
        <v>#REF!</v>
      </c>
      <c r="D22" s="62" t="e">
        <f t="shared" si="0"/>
        <v>#REF!</v>
      </c>
      <c r="F22" s="32"/>
      <c r="J22" s="62" t="e">
        <f t="shared" si="1"/>
        <v>#REF!</v>
      </c>
      <c r="K22" s="62" t="e">
        <f t="shared" si="2"/>
        <v>#REF!</v>
      </c>
      <c r="M22" s="62" t="e">
        <f t="shared" si="3"/>
        <v>#REF!</v>
      </c>
      <c r="N22" s="62" t="e">
        <f t="shared" si="4"/>
        <v>#REF!</v>
      </c>
      <c r="P22" s="62"/>
      <c r="Q22" s="62"/>
      <c r="S22" s="62"/>
      <c r="T22" s="62"/>
    </row>
    <row r="23" spans="1:20" ht="11.7" customHeight="1">
      <c r="A23" s="32" t="s">
        <v>17</v>
      </c>
      <c r="B23" s="62" t="e">
        <f>+#REF!</f>
        <v>#REF!</v>
      </c>
      <c r="C23" s="62" t="e">
        <f>+#REF!</f>
        <v>#REF!</v>
      </c>
      <c r="D23" s="62" t="e">
        <f t="shared" si="0"/>
        <v>#REF!</v>
      </c>
      <c r="F23" s="32"/>
      <c r="J23" s="62" t="e">
        <f t="shared" si="1"/>
        <v>#REF!</v>
      </c>
      <c r="K23" s="62" t="e">
        <f t="shared" si="2"/>
        <v>#REF!</v>
      </c>
      <c r="M23" s="62" t="e">
        <f t="shared" si="3"/>
        <v>#REF!</v>
      </c>
      <c r="N23" s="62" t="e">
        <f t="shared" si="4"/>
        <v>#REF!</v>
      </c>
      <c r="P23" s="62" t="e">
        <f>AVERAGE(B17:B22)</f>
        <v>#REF!</v>
      </c>
      <c r="Q23" s="62" t="e">
        <f t="shared" ref="Q23:Q87" si="5">AVERAGE(C17:C22)</f>
        <v>#REF!</v>
      </c>
      <c r="S23" s="62" t="e">
        <f>+B23-P23</f>
        <v>#REF!</v>
      </c>
      <c r="T23" s="62" t="e">
        <f t="shared" ref="T23:T87" si="6">+C23-Q23</f>
        <v>#REF!</v>
      </c>
    </row>
    <row r="24" spans="1:20" ht="11.7" customHeight="1">
      <c r="A24" s="32"/>
      <c r="B24" s="62" t="e">
        <f>+#REF!</f>
        <v>#REF!</v>
      </c>
      <c r="C24" s="62" t="e">
        <f>+#REF!</f>
        <v>#REF!</v>
      </c>
      <c r="D24" s="62" t="e">
        <f t="shared" si="0"/>
        <v>#REF!</v>
      </c>
      <c r="F24" s="32"/>
      <c r="J24" s="62" t="e">
        <f t="shared" si="1"/>
        <v>#REF!</v>
      </c>
      <c r="K24" s="62" t="e">
        <f t="shared" si="2"/>
        <v>#REF!</v>
      </c>
      <c r="M24" s="62" t="e">
        <f t="shared" si="3"/>
        <v>#REF!</v>
      </c>
      <c r="N24" s="62" t="e">
        <f t="shared" si="4"/>
        <v>#REF!</v>
      </c>
      <c r="P24" s="62" t="e">
        <f t="shared" ref="P24:P88" si="7">AVERAGE(B18:B23)</f>
        <v>#REF!</v>
      </c>
      <c r="Q24" s="62" t="e">
        <f t="shared" si="5"/>
        <v>#REF!</v>
      </c>
      <c r="S24" s="62" t="e">
        <f t="shared" ref="S24:S88" si="8">+B24-P24</f>
        <v>#REF!</v>
      </c>
      <c r="T24" s="62" t="e">
        <f t="shared" si="6"/>
        <v>#REF!</v>
      </c>
    </row>
    <row r="25" spans="1:20" ht="11.7" customHeight="1">
      <c r="A25" s="32"/>
      <c r="B25" s="62" t="e">
        <f>+#REF!</f>
        <v>#REF!</v>
      </c>
      <c r="C25" s="62" t="e">
        <f>+#REF!</f>
        <v>#REF!</v>
      </c>
      <c r="D25" s="62" t="e">
        <f t="shared" si="0"/>
        <v>#REF!</v>
      </c>
      <c r="F25" s="32"/>
      <c r="J25" s="62" t="e">
        <f t="shared" si="1"/>
        <v>#REF!</v>
      </c>
      <c r="K25" s="62" t="e">
        <f t="shared" si="2"/>
        <v>#REF!</v>
      </c>
      <c r="M25" s="62" t="e">
        <f t="shared" si="3"/>
        <v>#REF!</v>
      </c>
      <c r="N25" s="62" t="e">
        <f t="shared" si="4"/>
        <v>#REF!</v>
      </c>
      <c r="P25" s="62" t="e">
        <f t="shared" si="7"/>
        <v>#REF!</v>
      </c>
      <c r="Q25" s="62" t="e">
        <f t="shared" si="5"/>
        <v>#REF!</v>
      </c>
      <c r="S25" s="62" t="e">
        <f t="shared" si="8"/>
        <v>#REF!</v>
      </c>
      <c r="T25" s="62" t="e">
        <f t="shared" si="6"/>
        <v>#REF!</v>
      </c>
    </row>
    <row r="26" spans="1:20" ht="11.7" customHeight="1">
      <c r="A26" s="32"/>
      <c r="B26" s="62" t="e">
        <f>+#REF!</f>
        <v>#REF!</v>
      </c>
      <c r="C26" s="62" t="e">
        <f>+#REF!</f>
        <v>#REF!</v>
      </c>
      <c r="D26" s="62" t="e">
        <f t="shared" si="0"/>
        <v>#REF!</v>
      </c>
      <c r="F26" s="32"/>
      <c r="J26" s="62" t="e">
        <f t="shared" si="1"/>
        <v>#REF!</v>
      </c>
      <c r="K26" s="62" t="e">
        <f t="shared" si="2"/>
        <v>#REF!</v>
      </c>
      <c r="M26" s="62" t="e">
        <f t="shared" si="3"/>
        <v>#REF!</v>
      </c>
      <c r="N26" s="62" t="e">
        <f t="shared" si="4"/>
        <v>#REF!</v>
      </c>
      <c r="P26" s="62" t="e">
        <f t="shared" si="7"/>
        <v>#REF!</v>
      </c>
      <c r="Q26" s="62" t="e">
        <f t="shared" si="5"/>
        <v>#REF!</v>
      </c>
      <c r="S26" s="62" t="e">
        <f t="shared" si="8"/>
        <v>#REF!</v>
      </c>
      <c r="T26" s="62" t="e">
        <f t="shared" si="6"/>
        <v>#REF!</v>
      </c>
    </row>
    <row r="27" spans="1:20" ht="11.7" customHeight="1">
      <c r="A27" s="32"/>
      <c r="B27" s="62" t="e">
        <f>+#REF!</f>
        <v>#REF!</v>
      </c>
      <c r="C27" s="62" t="e">
        <f>+#REF!</f>
        <v>#REF!</v>
      </c>
      <c r="D27" s="62" t="e">
        <f t="shared" si="0"/>
        <v>#REF!</v>
      </c>
      <c r="F27" s="32"/>
      <c r="J27" s="62" t="e">
        <f t="shared" si="1"/>
        <v>#REF!</v>
      </c>
      <c r="K27" s="62" t="e">
        <f t="shared" si="2"/>
        <v>#REF!</v>
      </c>
      <c r="M27" s="62" t="e">
        <f t="shared" si="3"/>
        <v>#REF!</v>
      </c>
      <c r="N27" s="62" t="e">
        <f t="shared" si="4"/>
        <v>#REF!</v>
      </c>
      <c r="P27" s="62" t="e">
        <f t="shared" si="7"/>
        <v>#REF!</v>
      </c>
      <c r="Q27" s="62" t="e">
        <f t="shared" si="5"/>
        <v>#REF!</v>
      </c>
      <c r="S27" s="62" t="e">
        <f t="shared" si="8"/>
        <v>#REF!</v>
      </c>
      <c r="T27" s="62" t="e">
        <f t="shared" si="6"/>
        <v>#REF!</v>
      </c>
    </row>
    <row r="28" spans="1:20" ht="11.7" customHeight="1">
      <c r="A28" s="32"/>
      <c r="B28" s="62" t="e">
        <f>+#REF!</f>
        <v>#REF!</v>
      </c>
      <c r="C28" s="62" t="e">
        <f>+#REF!</f>
        <v>#REF!</v>
      </c>
      <c r="D28" s="62" t="e">
        <f t="shared" si="0"/>
        <v>#REF!</v>
      </c>
      <c r="F28" s="32"/>
      <c r="J28" s="62" t="e">
        <f t="shared" si="1"/>
        <v>#REF!</v>
      </c>
      <c r="K28" s="62" t="e">
        <f t="shared" si="2"/>
        <v>#REF!</v>
      </c>
      <c r="M28" s="62" t="e">
        <f t="shared" si="3"/>
        <v>#REF!</v>
      </c>
      <c r="N28" s="62" t="e">
        <f t="shared" si="4"/>
        <v>#REF!</v>
      </c>
      <c r="P28" s="62" t="e">
        <f t="shared" si="7"/>
        <v>#REF!</v>
      </c>
      <c r="Q28" s="62" t="e">
        <f t="shared" si="5"/>
        <v>#REF!</v>
      </c>
      <c r="S28" s="62" t="e">
        <f t="shared" si="8"/>
        <v>#REF!</v>
      </c>
      <c r="T28" s="62" t="e">
        <f t="shared" si="6"/>
        <v>#REF!</v>
      </c>
    </row>
    <row r="29" spans="1:20" ht="11.7" customHeight="1">
      <c r="A29" s="32" t="s">
        <v>174</v>
      </c>
      <c r="B29" s="62" t="e">
        <f>+#REF!</f>
        <v>#REF!</v>
      </c>
      <c r="C29" s="62" t="e">
        <f>+#REF!</f>
        <v>#REF!</v>
      </c>
      <c r="D29" s="62" t="e">
        <f t="shared" si="0"/>
        <v>#REF!</v>
      </c>
      <c r="F29" s="100" t="e">
        <f>((B29/B17)-1)*100</f>
        <v>#REF!</v>
      </c>
      <c r="G29" s="100" t="e">
        <f>((C29/C17)-1)*100</f>
        <v>#REF!</v>
      </c>
      <c r="H29" s="100" t="e">
        <f>((D29/D17)-1)*100</f>
        <v>#REF!</v>
      </c>
      <c r="J29" s="62" t="e">
        <f t="shared" si="1"/>
        <v>#REF!</v>
      </c>
      <c r="K29" s="62" t="e">
        <f t="shared" si="2"/>
        <v>#REF!</v>
      </c>
      <c r="M29" s="62" t="e">
        <f t="shared" si="3"/>
        <v>#REF!</v>
      </c>
      <c r="N29" s="62" t="e">
        <f t="shared" si="4"/>
        <v>#REF!</v>
      </c>
      <c r="P29" s="62" t="e">
        <f t="shared" si="7"/>
        <v>#REF!</v>
      </c>
      <c r="Q29" s="62" t="e">
        <f t="shared" si="5"/>
        <v>#REF!</v>
      </c>
      <c r="S29" s="62" t="e">
        <f t="shared" si="8"/>
        <v>#REF!</v>
      </c>
      <c r="T29" s="62" t="e">
        <f t="shared" si="6"/>
        <v>#REF!</v>
      </c>
    </row>
    <row r="30" spans="1:20" ht="11.7" customHeight="1">
      <c r="A30" s="32"/>
      <c r="B30" s="62" t="e">
        <f>+#REF!</f>
        <v>#REF!</v>
      </c>
      <c r="C30" s="62" t="e">
        <f>+#REF!</f>
        <v>#REF!</v>
      </c>
      <c r="D30" s="62" t="e">
        <f t="shared" si="0"/>
        <v>#REF!</v>
      </c>
      <c r="F30" s="100" t="e">
        <f t="shared" ref="F30:F52" si="9">((B30/B18)-1)*100</f>
        <v>#REF!</v>
      </c>
      <c r="G30" s="100" t="e">
        <f t="shared" ref="G30:G52" si="10">((C30/C18)-1)*100</f>
        <v>#REF!</v>
      </c>
      <c r="H30" s="100" t="e">
        <f t="shared" ref="H30:H52" si="11">((D30/D18)-1)*100</f>
        <v>#REF!</v>
      </c>
      <c r="J30" s="62" t="e">
        <f t="shared" si="1"/>
        <v>#REF!</v>
      </c>
      <c r="K30" s="62" t="e">
        <f t="shared" si="2"/>
        <v>#REF!</v>
      </c>
      <c r="M30" s="62" t="e">
        <f t="shared" si="3"/>
        <v>#REF!</v>
      </c>
      <c r="N30" s="62" t="e">
        <f t="shared" si="4"/>
        <v>#REF!</v>
      </c>
      <c r="P30" s="62" t="e">
        <f t="shared" si="7"/>
        <v>#REF!</v>
      </c>
      <c r="Q30" s="62" t="e">
        <f t="shared" si="5"/>
        <v>#REF!</v>
      </c>
      <c r="S30" s="62" t="e">
        <f t="shared" si="8"/>
        <v>#REF!</v>
      </c>
      <c r="T30" s="62" t="e">
        <f t="shared" si="6"/>
        <v>#REF!</v>
      </c>
    </row>
    <row r="31" spans="1:20" ht="11.7" customHeight="1">
      <c r="A31" s="32"/>
      <c r="B31" s="62" t="e">
        <f>+#REF!</f>
        <v>#REF!</v>
      </c>
      <c r="C31" s="62" t="e">
        <f>+#REF!</f>
        <v>#REF!</v>
      </c>
      <c r="D31" s="62" t="e">
        <f t="shared" si="0"/>
        <v>#REF!</v>
      </c>
      <c r="F31" s="100" t="e">
        <f t="shared" si="9"/>
        <v>#REF!</v>
      </c>
      <c r="G31" s="100" t="e">
        <f t="shared" si="10"/>
        <v>#REF!</v>
      </c>
      <c r="H31" s="100" t="e">
        <f t="shared" si="11"/>
        <v>#REF!</v>
      </c>
      <c r="J31" s="62" t="e">
        <f t="shared" si="1"/>
        <v>#REF!</v>
      </c>
      <c r="K31" s="62" t="e">
        <f t="shared" si="2"/>
        <v>#REF!</v>
      </c>
      <c r="M31" s="62" t="e">
        <f t="shared" si="3"/>
        <v>#REF!</v>
      </c>
      <c r="N31" s="62" t="e">
        <f t="shared" si="4"/>
        <v>#REF!</v>
      </c>
      <c r="P31" s="62" t="e">
        <f t="shared" si="7"/>
        <v>#REF!</v>
      </c>
      <c r="Q31" s="62" t="e">
        <f t="shared" si="5"/>
        <v>#REF!</v>
      </c>
      <c r="S31" s="62" t="e">
        <f t="shared" si="8"/>
        <v>#REF!</v>
      </c>
      <c r="T31" s="62" t="e">
        <f t="shared" si="6"/>
        <v>#REF!</v>
      </c>
    </row>
    <row r="32" spans="1:20" ht="11.7" customHeight="1">
      <c r="A32" s="32"/>
      <c r="B32" s="62" t="e">
        <f>+#REF!</f>
        <v>#REF!</v>
      </c>
      <c r="C32" s="62" t="e">
        <f>+#REF!</f>
        <v>#REF!</v>
      </c>
      <c r="D32" s="62" t="e">
        <f t="shared" si="0"/>
        <v>#REF!</v>
      </c>
      <c r="F32" s="100" t="e">
        <f t="shared" si="9"/>
        <v>#REF!</v>
      </c>
      <c r="G32" s="100" t="e">
        <f t="shared" si="10"/>
        <v>#REF!</v>
      </c>
      <c r="H32" s="100" t="e">
        <f t="shared" si="11"/>
        <v>#REF!</v>
      </c>
      <c r="J32" s="62" t="e">
        <f>AVERAGE(B29:B31)</f>
        <v>#REF!</v>
      </c>
      <c r="K32" s="62" t="e">
        <f>AVERAGE(C29:C31)</f>
        <v>#REF!</v>
      </c>
      <c r="M32" s="62" t="e">
        <f t="shared" si="3"/>
        <v>#REF!</v>
      </c>
      <c r="N32" s="62" t="e">
        <f t="shared" si="4"/>
        <v>#REF!</v>
      </c>
      <c r="P32" s="62" t="e">
        <f t="shared" si="7"/>
        <v>#REF!</v>
      </c>
      <c r="Q32" s="62" t="e">
        <f t="shared" si="5"/>
        <v>#REF!</v>
      </c>
      <c r="S32" s="62" t="e">
        <f t="shared" si="8"/>
        <v>#REF!</v>
      </c>
      <c r="T32" s="62" t="e">
        <f t="shared" si="6"/>
        <v>#REF!</v>
      </c>
    </row>
    <row r="33" spans="1:20" ht="11.7" customHeight="1">
      <c r="A33" s="32"/>
      <c r="B33" s="62" t="e">
        <f>+#REF!</f>
        <v>#REF!</v>
      </c>
      <c r="C33" s="62" t="e">
        <f>+#REF!</f>
        <v>#REF!</v>
      </c>
      <c r="D33" s="62" t="e">
        <f t="shared" si="0"/>
        <v>#REF!</v>
      </c>
      <c r="F33" s="100" t="e">
        <f t="shared" si="9"/>
        <v>#REF!</v>
      </c>
      <c r="G33" s="100" t="e">
        <f t="shared" si="10"/>
        <v>#REF!</v>
      </c>
      <c r="H33" s="100" t="e">
        <f t="shared" si="11"/>
        <v>#REF!</v>
      </c>
      <c r="J33" s="62" t="e">
        <f t="shared" ref="J33:J82" si="12">AVERAGE(B30:B32)</f>
        <v>#REF!</v>
      </c>
      <c r="K33" s="62" t="e">
        <f t="shared" ref="K33:K82" si="13">AVERAGE(C30:C32)</f>
        <v>#REF!</v>
      </c>
      <c r="M33" s="62" t="e">
        <f t="shared" si="3"/>
        <v>#REF!</v>
      </c>
      <c r="N33" s="62" t="e">
        <f t="shared" si="4"/>
        <v>#REF!</v>
      </c>
      <c r="P33" s="62" t="e">
        <f t="shared" si="7"/>
        <v>#REF!</v>
      </c>
      <c r="Q33" s="62" t="e">
        <f t="shared" si="5"/>
        <v>#REF!</v>
      </c>
      <c r="S33" s="62" t="e">
        <f t="shared" si="8"/>
        <v>#REF!</v>
      </c>
      <c r="T33" s="62" t="e">
        <f t="shared" si="6"/>
        <v>#REF!</v>
      </c>
    </row>
    <row r="34" spans="1:20" ht="11.7" customHeight="1">
      <c r="A34" s="32"/>
      <c r="B34" s="62" t="e">
        <f>+#REF!</f>
        <v>#REF!</v>
      </c>
      <c r="C34" s="62" t="e">
        <f>+#REF!</f>
        <v>#REF!</v>
      </c>
      <c r="D34" s="62" t="e">
        <f t="shared" si="0"/>
        <v>#REF!</v>
      </c>
      <c r="F34" s="100" t="e">
        <f t="shared" si="9"/>
        <v>#REF!</v>
      </c>
      <c r="G34" s="100" t="e">
        <f t="shared" si="10"/>
        <v>#REF!</v>
      </c>
      <c r="H34" s="100" t="e">
        <f t="shared" si="11"/>
        <v>#REF!</v>
      </c>
      <c r="J34" s="62" t="e">
        <f t="shared" si="12"/>
        <v>#REF!</v>
      </c>
      <c r="K34" s="62" t="e">
        <f t="shared" si="13"/>
        <v>#REF!</v>
      </c>
      <c r="M34" s="62" t="e">
        <f t="shared" si="3"/>
        <v>#REF!</v>
      </c>
      <c r="N34" s="62" t="e">
        <f t="shared" si="4"/>
        <v>#REF!</v>
      </c>
      <c r="P34" s="62" t="e">
        <f t="shared" si="7"/>
        <v>#REF!</v>
      </c>
      <c r="Q34" s="62" t="e">
        <f t="shared" si="5"/>
        <v>#REF!</v>
      </c>
      <c r="S34" s="62" t="e">
        <f t="shared" si="8"/>
        <v>#REF!</v>
      </c>
      <c r="T34" s="62" t="e">
        <f t="shared" si="6"/>
        <v>#REF!</v>
      </c>
    </row>
    <row r="35" spans="1:20" ht="11.7" customHeight="1">
      <c r="A35" s="32" t="s">
        <v>17</v>
      </c>
      <c r="B35" s="62" t="e">
        <f>+#REF!</f>
        <v>#REF!</v>
      </c>
      <c r="C35" s="62" t="e">
        <f>+#REF!</f>
        <v>#REF!</v>
      </c>
      <c r="D35" s="62" t="e">
        <f t="shared" si="0"/>
        <v>#REF!</v>
      </c>
      <c r="F35" s="100" t="e">
        <f t="shared" si="9"/>
        <v>#REF!</v>
      </c>
      <c r="G35" s="100" t="e">
        <f t="shared" si="10"/>
        <v>#REF!</v>
      </c>
      <c r="H35" s="100" t="e">
        <f t="shared" si="11"/>
        <v>#REF!</v>
      </c>
      <c r="J35" s="62" t="e">
        <f t="shared" si="12"/>
        <v>#REF!</v>
      </c>
      <c r="K35" s="62" t="e">
        <f t="shared" si="13"/>
        <v>#REF!</v>
      </c>
      <c r="M35" s="62" t="e">
        <f t="shared" si="3"/>
        <v>#REF!</v>
      </c>
      <c r="N35" s="62" t="e">
        <f t="shared" si="4"/>
        <v>#REF!</v>
      </c>
      <c r="P35" s="62" t="e">
        <f t="shared" si="7"/>
        <v>#REF!</v>
      </c>
      <c r="Q35" s="62" t="e">
        <f t="shared" si="5"/>
        <v>#REF!</v>
      </c>
      <c r="S35" s="62" t="e">
        <f t="shared" si="8"/>
        <v>#REF!</v>
      </c>
      <c r="T35" s="62" t="e">
        <f t="shared" si="6"/>
        <v>#REF!</v>
      </c>
    </row>
    <row r="36" spans="1:20" ht="11.7" customHeight="1">
      <c r="A36" s="32"/>
      <c r="B36" s="62" t="e">
        <f>+#REF!</f>
        <v>#REF!</v>
      </c>
      <c r="C36" s="62" t="e">
        <f>+#REF!</f>
        <v>#REF!</v>
      </c>
      <c r="D36" s="62" t="e">
        <f t="shared" si="0"/>
        <v>#REF!</v>
      </c>
      <c r="F36" s="100" t="e">
        <f t="shared" si="9"/>
        <v>#REF!</v>
      </c>
      <c r="G36" s="100" t="e">
        <f t="shared" si="10"/>
        <v>#REF!</v>
      </c>
      <c r="H36" s="100" t="e">
        <f t="shared" si="11"/>
        <v>#REF!</v>
      </c>
      <c r="J36" s="62" t="e">
        <f t="shared" si="12"/>
        <v>#REF!</v>
      </c>
      <c r="K36" s="62" t="e">
        <f t="shared" si="13"/>
        <v>#REF!</v>
      </c>
      <c r="M36" s="62" t="e">
        <f t="shared" si="3"/>
        <v>#REF!</v>
      </c>
      <c r="N36" s="62" t="e">
        <f t="shared" si="4"/>
        <v>#REF!</v>
      </c>
      <c r="P36" s="62" t="e">
        <f t="shared" si="7"/>
        <v>#REF!</v>
      </c>
      <c r="Q36" s="62" t="e">
        <f t="shared" si="5"/>
        <v>#REF!</v>
      </c>
      <c r="S36" s="62" t="e">
        <f t="shared" si="8"/>
        <v>#REF!</v>
      </c>
      <c r="T36" s="62" t="e">
        <f t="shared" si="6"/>
        <v>#REF!</v>
      </c>
    </row>
    <row r="37" spans="1:20" ht="11.7" customHeight="1">
      <c r="A37" s="32"/>
      <c r="B37" s="62" t="e">
        <f>+#REF!</f>
        <v>#REF!</v>
      </c>
      <c r="C37" s="62" t="e">
        <f>+#REF!</f>
        <v>#REF!</v>
      </c>
      <c r="D37" s="62" t="e">
        <f t="shared" si="0"/>
        <v>#REF!</v>
      </c>
      <c r="F37" s="100" t="e">
        <f t="shared" si="9"/>
        <v>#REF!</v>
      </c>
      <c r="G37" s="100" t="e">
        <f t="shared" si="10"/>
        <v>#REF!</v>
      </c>
      <c r="H37" s="100" t="e">
        <f t="shared" si="11"/>
        <v>#REF!</v>
      </c>
      <c r="J37" s="62" t="e">
        <f t="shared" si="12"/>
        <v>#REF!</v>
      </c>
      <c r="K37" s="62" t="e">
        <f t="shared" si="13"/>
        <v>#REF!</v>
      </c>
      <c r="M37" s="62" t="e">
        <f t="shared" si="3"/>
        <v>#REF!</v>
      </c>
      <c r="N37" s="62" t="e">
        <f t="shared" si="4"/>
        <v>#REF!</v>
      </c>
      <c r="P37" s="62" t="e">
        <f t="shared" si="7"/>
        <v>#REF!</v>
      </c>
      <c r="Q37" s="62" t="e">
        <f t="shared" si="5"/>
        <v>#REF!</v>
      </c>
      <c r="S37" s="62" t="e">
        <f t="shared" si="8"/>
        <v>#REF!</v>
      </c>
      <c r="T37" s="62" t="e">
        <f t="shared" si="6"/>
        <v>#REF!</v>
      </c>
    </row>
    <row r="38" spans="1:20" ht="11.7" customHeight="1">
      <c r="A38" s="32"/>
      <c r="B38" s="62" t="e">
        <f>+#REF!</f>
        <v>#REF!</v>
      </c>
      <c r="C38" s="62" t="e">
        <f>+#REF!</f>
        <v>#REF!</v>
      </c>
      <c r="D38" s="62" t="e">
        <f t="shared" si="0"/>
        <v>#REF!</v>
      </c>
      <c r="F38" s="100" t="e">
        <f t="shared" si="9"/>
        <v>#REF!</v>
      </c>
      <c r="G38" s="100" t="e">
        <f t="shared" si="10"/>
        <v>#REF!</v>
      </c>
      <c r="H38" s="100" t="e">
        <f t="shared" si="11"/>
        <v>#REF!</v>
      </c>
      <c r="J38" s="62" t="e">
        <f t="shared" si="12"/>
        <v>#REF!</v>
      </c>
      <c r="K38" s="62" t="e">
        <f t="shared" si="13"/>
        <v>#REF!</v>
      </c>
      <c r="M38" s="62" t="e">
        <f t="shared" si="3"/>
        <v>#REF!</v>
      </c>
      <c r="N38" s="62" t="e">
        <f t="shared" si="4"/>
        <v>#REF!</v>
      </c>
      <c r="P38" s="62" t="e">
        <f t="shared" si="7"/>
        <v>#REF!</v>
      </c>
      <c r="Q38" s="62" t="e">
        <f t="shared" si="5"/>
        <v>#REF!</v>
      </c>
      <c r="S38" s="62" t="e">
        <f t="shared" si="8"/>
        <v>#REF!</v>
      </c>
      <c r="T38" s="62" t="e">
        <f t="shared" si="6"/>
        <v>#REF!</v>
      </c>
    </row>
    <row r="39" spans="1:20" ht="11.7" customHeight="1">
      <c r="A39" s="32"/>
      <c r="B39" s="62" t="e">
        <f>+#REF!</f>
        <v>#REF!</v>
      </c>
      <c r="C39" s="62" t="e">
        <f>+#REF!</f>
        <v>#REF!</v>
      </c>
      <c r="D39" s="62" t="e">
        <f t="shared" si="0"/>
        <v>#REF!</v>
      </c>
      <c r="F39" s="100" t="e">
        <f t="shared" si="9"/>
        <v>#REF!</v>
      </c>
      <c r="G39" s="100" t="e">
        <f t="shared" si="10"/>
        <v>#REF!</v>
      </c>
      <c r="H39" s="100" t="e">
        <f t="shared" si="11"/>
        <v>#REF!</v>
      </c>
      <c r="J39" s="62" t="e">
        <f t="shared" si="12"/>
        <v>#REF!</v>
      </c>
      <c r="K39" s="62" t="e">
        <f t="shared" si="13"/>
        <v>#REF!</v>
      </c>
      <c r="M39" s="62" t="e">
        <f t="shared" si="3"/>
        <v>#REF!</v>
      </c>
      <c r="N39" s="62" t="e">
        <f t="shared" si="4"/>
        <v>#REF!</v>
      </c>
      <c r="P39" s="62" t="e">
        <f t="shared" si="7"/>
        <v>#REF!</v>
      </c>
      <c r="Q39" s="62" t="e">
        <f t="shared" si="5"/>
        <v>#REF!</v>
      </c>
      <c r="S39" s="62" t="e">
        <f t="shared" si="8"/>
        <v>#REF!</v>
      </c>
      <c r="T39" s="62" t="e">
        <f t="shared" si="6"/>
        <v>#REF!</v>
      </c>
    </row>
    <row r="40" spans="1:20" ht="11.7" customHeight="1">
      <c r="A40" s="32"/>
      <c r="B40" s="62" t="e">
        <f>+#REF!</f>
        <v>#REF!</v>
      </c>
      <c r="C40" s="62" t="e">
        <f>+#REF!</f>
        <v>#REF!</v>
      </c>
      <c r="D40" s="62" t="e">
        <f t="shared" si="0"/>
        <v>#REF!</v>
      </c>
      <c r="F40" s="100" t="e">
        <f t="shared" si="9"/>
        <v>#REF!</v>
      </c>
      <c r="G40" s="100" t="e">
        <f t="shared" si="10"/>
        <v>#REF!</v>
      </c>
      <c r="H40" s="100" t="e">
        <f t="shared" si="11"/>
        <v>#REF!</v>
      </c>
      <c r="J40" s="62" t="e">
        <f t="shared" si="12"/>
        <v>#REF!</v>
      </c>
      <c r="K40" s="62" t="e">
        <f t="shared" si="13"/>
        <v>#REF!</v>
      </c>
      <c r="M40" s="62" t="e">
        <f t="shared" si="3"/>
        <v>#REF!</v>
      </c>
      <c r="N40" s="62" t="e">
        <f t="shared" si="4"/>
        <v>#REF!</v>
      </c>
      <c r="P40" s="62" t="e">
        <f t="shared" si="7"/>
        <v>#REF!</v>
      </c>
      <c r="Q40" s="62" t="e">
        <f t="shared" si="5"/>
        <v>#REF!</v>
      </c>
      <c r="S40" s="62" t="e">
        <f t="shared" si="8"/>
        <v>#REF!</v>
      </c>
      <c r="T40" s="62" t="e">
        <f t="shared" si="6"/>
        <v>#REF!</v>
      </c>
    </row>
    <row r="41" spans="1:20" ht="11.7" customHeight="1">
      <c r="A41" s="32" t="s">
        <v>175</v>
      </c>
      <c r="B41" s="62" t="e">
        <f>+#REF!</f>
        <v>#REF!</v>
      </c>
      <c r="C41" s="62" t="e">
        <f>+#REF!</f>
        <v>#REF!</v>
      </c>
      <c r="D41" s="62" t="e">
        <f t="shared" si="0"/>
        <v>#REF!</v>
      </c>
      <c r="F41" s="100" t="e">
        <f t="shared" si="9"/>
        <v>#REF!</v>
      </c>
      <c r="G41" s="100" t="e">
        <f t="shared" si="10"/>
        <v>#REF!</v>
      </c>
      <c r="H41" s="100" t="e">
        <f t="shared" si="11"/>
        <v>#REF!</v>
      </c>
      <c r="J41" s="62" t="e">
        <f t="shared" si="12"/>
        <v>#REF!</v>
      </c>
      <c r="K41" s="62" t="e">
        <f t="shared" si="13"/>
        <v>#REF!</v>
      </c>
      <c r="M41" s="62" t="e">
        <f t="shared" si="3"/>
        <v>#REF!</v>
      </c>
      <c r="N41" s="62" t="e">
        <f t="shared" si="4"/>
        <v>#REF!</v>
      </c>
      <c r="P41" s="62" t="e">
        <f t="shared" si="7"/>
        <v>#REF!</v>
      </c>
      <c r="Q41" s="62" t="e">
        <f t="shared" si="5"/>
        <v>#REF!</v>
      </c>
      <c r="S41" s="62" t="e">
        <f t="shared" si="8"/>
        <v>#REF!</v>
      </c>
      <c r="T41" s="62" t="e">
        <f t="shared" si="6"/>
        <v>#REF!</v>
      </c>
    </row>
    <row r="42" spans="1:20" ht="11.7" customHeight="1">
      <c r="A42" s="32"/>
      <c r="B42" s="62" t="e">
        <f>+#REF!</f>
        <v>#REF!</v>
      </c>
      <c r="C42" s="62" t="e">
        <f>+#REF!</f>
        <v>#REF!</v>
      </c>
      <c r="D42" s="62" t="e">
        <f t="shared" si="0"/>
        <v>#REF!</v>
      </c>
      <c r="F42" s="100" t="e">
        <f t="shared" si="9"/>
        <v>#REF!</v>
      </c>
      <c r="G42" s="100" t="e">
        <f t="shared" si="10"/>
        <v>#REF!</v>
      </c>
      <c r="H42" s="100" t="e">
        <f t="shared" si="11"/>
        <v>#REF!</v>
      </c>
      <c r="J42" s="62" t="e">
        <f t="shared" si="12"/>
        <v>#REF!</v>
      </c>
      <c r="K42" s="62" t="e">
        <f t="shared" si="13"/>
        <v>#REF!</v>
      </c>
      <c r="M42" s="62" t="e">
        <f t="shared" si="3"/>
        <v>#REF!</v>
      </c>
      <c r="N42" s="62" t="e">
        <f t="shared" si="4"/>
        <v>#REF!</v>
      </c>
      <c r="P42" s="62" t="e">
        <f t="shared" si="7"/>
        <v>#REF!</v>
      </c>
      <c r="Q42" s="62" t="e">
        <f t="shared" si="5"/>
        <v>#REF!</v>
      </c>
      <c r="S42" s="62" t="e">
        <f t="shared" si="8"/>
        <v>#REF!</v>
      </c>
      <c r="T42" s="62" t="e">
        <f t="shared" si="6"/>
        <v>#REF!</v>
      </c>
    </row>
    <row r="43" spans="1:20" ht="11.7" customHeight="1">
      <c r="A43" s="32"/>
      <c r="B43" s="62" t="e">
        <f>+#REF!</f>
        <v>#REF!</v>
      </c>
      <c r="C43" s="62" t="e">
        <f>+#REF!</f>
        <v>#REF!</v>
      </c>
      <c r="D43" s="62" t="e">
        <f t="shared" si="0"/>
        <v>#REF!</v>
      </c>
      <c r="F43" s="100" t="e">
        <f t="shared" si="9"/>
        <v>#REF!</v>
      </c>
      <c r="G43" s="100" t="e">
        <f t="shared" si="10"/>
        <v>#REF!</v>
      </c>
      <c r="H43" s="100" t="e">
        <f t="shared" si="11"/>
        <v>#REF!</v>
      </c>
      <c r="J43" s="62" t="e">
        <f t="shared" si="12"/>
        <v>#REF!</v>
      </c>
      <c r="K43" s="62" t="e">
        <f t="shared" si="13"/>
        <v>#REF!</v>
      </c>
      <c r="M43" s="62" t="e">
        <f t="shared" si="3"/>
        <v>#REF!</v>
      </c>
      <c r="N43" s="62" t="e">
        <f t="shared" si="4"/>
        <v>#REF!</v>
      </c>
      <c r="P43" s="62" t="e">
        <f t="shared" si="7"/>
        <v>#REF!</v>
      </c>
      <c r="Q43" s="62" t="e">
        <f t="shared" si="5"/>
        <v>#REF!</v>
      </c>
      <c r="S43" s="62" t="e">
        <f t="shared" si="8"/>
        <v>#REF!</v>
      </c>
      <c r="T43" s="62" t="e">
        <f t="shared" si="6"/>
        <v>#REF!</v>
      </c>
    </row>
    <row r="44" spans="1:20" ht="11.7" customHeight="1">
      <c r="A44" s="32"/>
      <c r="B44" s="62" t="e">
        <f>+#REF!</f>
        <v>#REF!</v>
      </c>
      <c r="C44" s="62" t="e">
        <f>+#REF!</f>
        <v>#REF!</v>
      </c>
      <c r="D44" s="62" t="e">
        <f t="shared" si="0"/>
        <v>#REF!</v>
      </c>
      <c r="F44" s="100" t="e">
        <f t="shared" si="9"/>
        <v>#REF!</v>
      </c>
      <c r="G44" s="100" t="e">
        <f t="shared" si="10"/>
        <v>#REF!</v>
      </c>
      <c r="H44" s="100" t="e">
        <f t="shared" si="11"/>
        <v>#REF!</v>
      </c>
      <c r="J44" s="62" t="e">
        <f t="shared" si="12"/>
        <v>#REF!</v>
      </c>
      <c r="K44" s="62" t="e">
        <f t="shared" si="13"/>
        <v>#REF!</v>
      </c>
      <c r="M44" s="62" t="e">
        <f t="shared" si="3"/>
        <v>#REF!</v>
      </c>
      <c r="N44" s="62" t="e">
        <f t="shared" si="4"/>
        <v>#REF!</v>
      </c>
      <c r="P44" s="62" t="e">
        <f t="shared" si="7"/>
        <v>#REF!</v>
      </c>
      <c r="Q44" s="62" t="e">
        <f t="shared" si="5"/>
        <v>#REF!</v>
      </c>
      <c r="S44" s="62" t="e">
        <f t="shared" si="8"/>
        <v>#REF!</v>
      </c>
      <c r="T44" s="62" t="e">
        <f t="shared" si="6"/>
        <v>#REF!</v>
      </c>
    </row>
    <row r="45" spans="1:20" ht="11.7" customHeight="1">
      <c r="A45" s="32"/>
      <c r="B45" s="62" t="e">
        <f>+#REF!</f>
        <v>#REF!</v>
      </c>
      <c r="C45" s="62" t="e">
        <f>+#REF!</f>
        <v>#REF!</v>
      </c>
      <c r="D45" s="62" t="e">
        <f t="shared" si="0"/>
        <v>#REF!</v>
      </c>
      <c r="F45" s="100" t="e">
        <f t="shared" si="9"/>
        <v>#REF!</v>
      </c>
      <c r="G45" s="100" t="e">
        <f t="shared" si="10"/>
        <v>#REF!</v>
      </c>
      <c r="H45" s="100" t="e">
        <f t="shared" si="11"/>
        <v>#REF!</v>
      </c>
      <c r="J45" s="62" t="e">
        <f t="shared" si="12"/>
        <v>#REF!</v>
      </c>
      <c r="K45" s="62" t="e">
        <f t="shared" si="13"/>
        <v>#REF!</v>
      </c>
      <c r="M45" s="62" t="e">
        <f t="shared" si="3"/>
        <v>#REF!</v>
      </c>
      <c r="N45" s="62" t="e">
        <f t="shared" si="4"/>
        <v>#REF!</v>
      </c>
      <c r="P45" s="62" t="e">
        <f t="shared" si="7"/>
        <v>#REF!</v>
      </c>
      <c r="Q45" s="62" t="e">
        <f t="shared" si="5"/>
        <v>#REF!</v>
      </c>
      <c r="S45" s="62" t="e">
        <f t="shared" si="8"/>
        <v>#REF!</v>
      </c>
      <c r="T45" s="62" t="e">
        <f t="shared" si="6"/>
        <v>#REF!</v>
      </c>
    </row>
    <row r="46" spans="1:20" ht="11.7" customHeight="1">
      <c r="A46" s="32"/>
      <c r="B46" s="62" t="e">
        <f>+#REF!</f>
        <v>#REF!</v>
      </c>
      <c r="C46" s="62" t="e">
        <f>+#REF!</f>
        <v>#REF!</v>
      </c>
      <c r="D46" s="62" t="e">
        <f t="shared" si="0"/>
        <v>#REF!</v>
      </c>
      <c r="F46" s="100" t="e">
        <f t="shared" si="9"/>
        <v>#REF!</v>
      </c>
      <c r="G46" s="100" t="e">
        <f t="shared" si="10"/>
        <v>#REF!</v>
      </c>
      <c r="H46" s="100" t="e">
        <f t="shared" si="11"/>
        <v>#REF!</v>
      </c>
      <c r="J46" s="62" t="e">
        <f t="shared" si="12"/>
        <v>#REF!</v>
      </c>
      <c r="K46" s="62" t="e">
        <f t="shared" si="13"/>
        <v>#REF!</v>
      </c>
      <c r="M46" s="62" t="e">
        <f t="shared" si="3"/>
        <v>#REF!</v>
      </c>
      <c r="N46" s="62" t="e">
        <f t="shared" si="4"/>
        <v>#REF!</v>
      </c>
      <c r="P46" s="62" t="e">
        <f t="shared" si="7"/>
        <v>#REF!</v>
      </c>
      <c r="Q46" s="62" t="e">
        <f t="shared" si="5"/>
        <v>#REF!</v>
      </c>
      <c r="S46" s="62" t="e">
        <f t="shared" si="8"/>
        <v>#REF!</v>
      </c>
      <c r="T46" s="62" t="e">
        <f t="shared" si="6"/>
        <v>#REF!</v>
      </c>
    </row>
    <row r="47" spans="1:20" ht="11.7" customHeight="1">
      <c r="A47" s="32" t="s">
        <v>17</v>
      </c>
      <c r="B47" s="62" t="e">
        <f>+#REF!</f>
        <v>#REF!</v>
      </c>
      <c r="C47" s="62" t="e">
        <f>+#REF!</f>
        <v>#REF!</v>
      </c>
      <c r="D47" s="62" t="e">
        <f t="shared" si="0"/>
        <v>#REF!</v>
      </c>
      <c r="F47" s="100" t="e">
        <f t="shared" si="9"/>
        <v>#REF!</v>
      </c>
      <c r="G47" s="100" t="e">
        <f t="shared" si="10"/>
        <v>#REF!</v>
      </c>
      <c r="H47" s="100" t="e">
        <f t="shared" si="11"/>
        <v>#REF!</v>
      </c>
      <c r="J47" s="62" t="e">
        <f t="shared" si="12"/>
        <v>#REF!</v>
      </c>
      <c r="K47" s="62" t="e">
        <f t="shared" si="13"/>
        <v>#REF!</v>
      </c>
      <c r="M47" s="62" t="e">
        <f t="shared" si="3"/>
        <v>#REF!</v>
      </c>
      <c r="N47" s="62" t="e">
        <f t="shared" si="4"/>
        <v>#REF!</v>
      </c>
      <c r="P47" s="62" t="e">
        <f t="shared" si="7"/>
        <v>#REF!</v>
      </c>
      <c r="Q47" s="62" t="e">
        <f t="shared" si="5"/>
        <v>#REF!</v>
      </c>
      <c r="S47" s="62" t="e">
        <f t="shared" si="8"/>
        <v>#REF!</v>
      </c>
      <c r="T47" s="62" t="e">
        <f t="shared" si="6"/>
        <v>#REF!</v>
      </c>
    </row>
    <row r="48" spans="1:20" ht="11.7" customHeight="1">
      <c r="A48" s="32"/>
      <c r="B48" s="62" t="e">
        <f>+#REF!</f>
        <v>#REF!</v>
      </c>
      <c r="C48" s="62" t="e">
        <f>+#REF!</f>
        <v>#REF!</v>
      </c>
      <c r="D48" s="62" t="e">
        <f t="shared" si="0"/>
        <v>#REF!</v>
      </c>
      <c r="F48" s="100" t="e">
        <f t="shared" si="9"/>
        <v>#REF!</v>
      </c>
      <c r="G48" s="100" t="e">
        <f t="shared" si="10"/>
        <v>#REF!</v>
      </c>
      <c r="H48" s="100" t="e">
        <f t="shared" si="11"/>
        <v>#REF!</v>
      </c>
      <c r="J48" s="62" t="e">
        <f t="shared" si="12"/>
        <v>#REF!</v>
      </c>
      <c r="K48" s="62" t="e">
        <f t="shared" si="13"/>
        <v>#REF!</v>
      </c>
      <c r="M48" s="62" t="e">
        <f t="shared" si="3"/>
        <v>#REF!</v>
      </c>
      <c r="N48" s="62" t="e">
        <f t="shared" si="4"/>
        <v>#REF!</v>
      </c>
      <c r="P48" s="62" t="e">
        <f t="shared" si="7"/>
        <v>#REF!</v>
      </c>
      <c r="Q48" s="62" t="e">
        <f t="shared" si="5"/>
        <v>#REF!</v>
      </c>
      <c r="S48" s="62" t="e">
        <f t="shared" si="8"/>
        <v>#REF!</v>
      </c>
      <c r="T48" s="62" t="e">
        <f t="shared" si="6"/>
        <v>#REF!</v>
      </c>
    </row>
    <row r="49" spans="1:20" ht="11.7" customHeight="1">
      <c r="A49" s="32"/>
      <c r="B49" s="62" t="e">
        <f>+#REF!</f>
        <v>#REF!</v>
      </c>
      <c r="C49" s="62" t="e">
        <f>+#REF!</f>
        <v>#REF!</v>
      </c>
      <c r="D49" s="62" t="e">
        <f t="shared" si="0"/>
        <v>#REF!</v>
      </c>
      <c r="F49" s="100" t="e">
        <f t="shared" si="9"/>
        <v>#REF!</v>
      </c>
      <c r="G49" s="100" t="e">
        <f t="shared" si="10"/>
        <v>#REF!</v>
      </c>
      <c r="H49" s="100" t="e">
        <f t="shared" si="11"/>
        <v>#REF!</v>
      </c>
      <c r="J49" s="62" t="e">
        <f t="shared" si="12"/>
        <v>#REF!</v>
      </c>
      <c r="K49" s="62" t="e">
        <f t="shared" si="13"/>
        <v>#REF!</v>
      </c>
      <c r="M49" s="62" t="e">
        <f t="shared" si="3"/>
        <v>#REF!</v>
      </c>
      <c r="N49" s="62" t="e">
        <f t="shared" si="4"/>
        <v>#REF!</v>
      </c>
      <c r="P49" s="62" t="e">
        <f t="shared" si="7"/>
        <v>#REF!</v>
      </c>
      <c r="Q49" s="62" t="e">
        <f t="shared" si="5"/>
        <v>#REF!</v>
      </c>
      <c r="S49" s="62" t="e">
        <f t="shared" si="8"/>
        <v>#REF!</v>
      </c>
      <c r="T49" s="62" t="e">
        <f t="shared" si="6"/>
        <v>#REF!</v>
      </c>
    </row>
    <row r="50" spans="1:20" ht="11.7" customHeight="1">
      <c r="A50" s="32"/>
      <c r="B50" s="62" t="e">
        <f>+#REF!</f>
        <v>#REF!</v>
      </c>
      <c r="C50" s="62" t="e">
        <f>+#REF!</f>
        <v>#REF!</v>
      </c>
      <c r="D50" s="62" t="e">
        <f t="shared" si="0"/>
        <v>#REF!</v>
      </c>
      <c r="F50" s="100" t="e">
        <f t="shared" si="9"/>
        <v>#REF!</v>
      </c>
      <c r="G50" s="100" t="e">
        <f t="shared" si="10"/>
        <v>#REF!</v>
      </c>
      <c r="H50" s="100" t="e">
        <f t="shared" si="11"/>
        <v>#REF!</v>
      </c>
      <c r="J50" s="62" t="e">
        <f t="shared" si="12"/>
        <v>#REF!</v>
      </c>
      <c r="K50" s="62" t="e">
        <f t="shared" si="13"/>
        <v>#REF!</v>
      </c>
      <c r="M50" s="62" t="e">
        <f t="shared" si="3"/>
        <v>#REF!</v>
      </c>
      <c r="N50" s="62" t="e">
        <f t="shared" si="4"/>
        <v>#REF!</v>
      </c>
      <c r="P50" s="62" t="e">
        <f t="shared" si="7"/>
        <v>#REF!</v>
      </c>
      <c r="Q50" s="62" t="e">
        <f t="shared" si="5"/>
        <v>#REF!</v>
      </c>
      <c r="S50" s="62" t="e">
        <f t="shared" si="8"/>
        <v>#REF!</v>
      </c>
      <c r="T50" s="62" t="e">
        <f t="shared" si="6"/>
        <v>#REF!</v>
      </c>
    </row>
    <row r="51" spans="1:20" ht="11.7" customHeight="1">
      <c r="A51" s="32"/>
      <c r="B51" s="62" t="e">
        <f>+#REF!</f>
        <v>#REF!</v>
      </c>
      <c r="C51" s="62" t="e">
        <f>+#REF!</f>
        <v>#REF!</v>
      </c>
      <c r="D51" s="62" t="e">
        <f t="shared" si="0"/>
        <v>#REF!</v>
      </c>
      <c r="F51" s="100" t="e">
        <f t="shared" si="9"/>
        <v>#REF!</v>
      </c>
      <c r="G51" s="100" t="e">
        <f t="shared" si="10"/>
        <v>#REF!</v>
      </c>
      <c r="H51" s="100" t="e">
        <f t="shared" si="11"/>
        <v>#REF!</v>
      </c>
      <c r="J51" s="62" t="e">
        <f t="shared" si="12"/>
        <v>#REF!</v>
      </c>
      <c r="K51" s="62" t="e">
        <f t="shared" si="13"/>
        <v>#REF!</v>
      </c>
      <c r="M51" s="62" t="e">
        <f t="shared" si="3"/>
        <v>#REF!</v>
      </c>
      <c r="N51" s="62" t="e">
        <f t="shared" si="4"/>
        <v>#REF!</v>
      </c>
      <c r="P51" s="62" t="e">
        <f t="shared" si="7"/>
        <v>#REF!</v>
      </c>
      <c r="Q51" s="62" t="e">
        <f t="shared" si="5"/>
        <v>#REF!</v>
      </c>
      <c r="S51" s="62" t="e">
        <f t="shared" si="8"/>
        <v>#REF!</v>
      </c>
      <c r="T51" s="62" t="e">
        <f t="shared" si="6"/>
        <v>#REF!</v>
      </c>
    </row>
    <row r="52" spans="1:20" ht="11.7" customHeight="1">
      <c r="A52" s="32"/>
      <c r="B52" s="62" t="e">
        <f>+#REF!</f>
        <v>#REF!</v>
      </c>
      <c r="C52" s="62" t="e">
        <f>+#REF!</f>
        <v>#REF!</v>
      </c>
      <c r="D52" s="62" t="e">
        <f t="shared" si="0"/>
        <v>#REF!</v>
      </c>
      <c r="F52" s="100" t="e">
        <f t="shared" si="9"/>
        <v>#REF!</v>
      </c>
      <c r="G52" s="100" t="e">
        <f t="shared" si="10"/>
        <v>#REF!</v>
      </c>
      <c r="H52" s="100" t="e">
        <f t="shared" si="11"/>
        <v>#REF!</v>
      </c>
      <c r="J52" s="62" t="e">
        <f t="shared" si="12"/>
        <v>#REF!</v>
      </c>
      <c r="K52" s="62" t="e">
        <f t="shared" si="13"/>
        <v>#REF!</v>
      </c>
      <c r="M52" s="62" t="e">
        <f t="shared" si="3"/>
        <v>#REF!</v>
      </c>
      <c r="N52" s="62" t="e">
        <f t="shared" si="4"/>
        <v>#REF!</v>
      </c>
      <c r="P52" s="62" t="e">
        <f t="shared" si="7"/>
        <v>#REF!</v>
      </c>
      <c r="Q52" s="62" t="e">
        <f t="shared" si="5"/>
        <v>#REF!</v>
      </c>
      <c r="S52" s="62" t="e">
        <f t="shared" si="8"/>
        <v>#REF!</v>
      </c>
      <c r="T52" s="62" t="e">
        <f t="shared" si="6"/>
        <v>#REF!</v>
      </c>
    </row>
    <row r="53" spans="1:20" ht="11.7" customHeight="1">
      <c r="A53" s="32"/>
      <c r="B53" s="47" t="s">
        <v>176</v>
      </c>
      <c r="C53" s="47" t="s">
        <v>177</v>
      </c>
      <c r="D53" s="47" t="s">
        <v>178</v>
      </c>
      <c r="F53" s="100"/>
      <c r="G53" s="100"/>
      <c r="H53" s="100"/>
      <c r="J53" s="62"/>
      <c r="K53" s="62"/>
      <c r="M53" s="62"/>
      <c r="N53" s="62"/>
      <c r="P53" s="62"/>
      <c r="Q53" s="62"/>
      <c r="S53" s="62"/>
      <c r="T53" s="62"/>
    </row>
    <row r="54" spans="1:20" ht="11.7" customHeight="1">
      <c r="A54" s="32" t="s">
        <v>179</v>
      </c>
      <c r="B54" s="62" t="e">
        <f>+#REF!</f>
        <v>#REF!</v>
      </c>
      <c r="C54" s="62" t="e">
        <f>+#REF!</f>
        <v>#REF!</v>
      </c>
      <c r="D54" s="62" t="e">
        <f t="shared" si="0"/>
        <v>#REF!</v>
      </c>
      <c r="F54" s="100" t="e">
        <f t="shared" ref="F54:F65" si="14">((B54/B41)-1)*100</f>
        <v>#REF!</v>
      </c>
      <c r="G54" s="100" t="e">
        <f t="shared" ref="G54:G65" si="15">((C54/C41)-1)*100</f>
        <v>#REF!</v>
      </c>
      <c r="H54" s="100" t="e">
        <f t="shared" ref="H54:H65" si="16">((D54/D41)-1)*100</f>
        <v>#REF!</v>
      </c>
      <c r="J54" s="62" t="e">
        <f>AVERAGE(B50:B52)</f>
        <v>#REF!</v>
      </c>
      <c r="K54" s="62" t="e">
        <f>AVERAGE(C50:C52)</f>
        <v>#REF!</v>
      </c>
      <c r="M54" s="62" t="e">
        <f t="shared" si="3"/>
        <v>#REF!</v>
      </c>
      <c r="N54" s="62" t="e">
        <f t="shared" si="4"/>
        <v>#REF!</v>
      </c>
      <c r="P54" s="62" t="e">
        <f>AVERAGE(B47:B52)</f>
        <v>#REF!</v>
      </c>
      <c r="Q54" s="62" t="e">
        <f>AVERAGE(C47:C52)</f>
        <v>#REF!</v>
      </c>
      <c r="S54" s="62" t="e">
        <f t="shared" si="8"/>
        <v>#REF!</v>
      </c>
      <c r="T54" s="62" t="e">
        <f t="shared" si="6"/>
        <v>#REF!</v>
      </c>
    </row>
    <row r="55" spans="1:20" ht="11.7" customHeight="1">
      <c r="A55" s="32"/>
      <c r="B55" s="62" t="e">
        <f>+#REF!</f>
        <v>#REF!</v>
      </c>
      <c r="C55" s="62" t="e">
        <f>+#REF!</f>
        <v>#REF!</v>
      </c>
      <c r="D55" s="62" t="e">
        <f t="shared" si="0"/>
        <v>#REF!</v>
      </c>
      <c r="F55" s="100" t="e">
        <f t="shared" si="14"/>
        <v>#REF!</v>
      </c>
      <c r="G55" s="100" t="e">
        <f t="shared" si="15"/>
        <v>#REF!</v>
      </c>
      <c r="H55" s="100" t="e">
        <f t="shared" si="16"/>
        <v>#REF!</v>
      </c>
      <c r="J55" s="62" t="e">
        <f>AVERAGE(B51:B54)</f>
        <v>#REF!</v>
      </c>
      <c r="K55" s="62" t="e">
        <f>AVERAGE(C51:C54)</f>
        <v>#REF!</v>
      </c>
      <c r="M55" s="62" t="e">
        <f t="shared" si="3"/>
        <v>#REF!</v>
      </c>
      <c r="N55" s="62" t="e">
        <f t="shared" si="4"/>
        <v>#REF!</v>
      </c>
      <c r="P55" s="62" t="e">
        <f t="shared" ref="P55:Q59" si="17">AVERAGE(B48:B54)</f>
        <v>#REF!</v>
      </c>
      <c r="Q55" s="62" t="e">
        <f t="shared" si="17"/>
        <v>#REF!</v>
      </c>
      <c r="S55" s="62" t="e">
        <f t="shared" si="8"/>
        <v>#REF!</v>
      </c>
      <c r="T55" s="62" t="e">
        <f t="shared" si="6"/>
        <v>#REF!</v>
      </c>
    </row>
    <row r="56" spans="1:20" ht="11.7" customHeight="1">
      <c r="A56" s="32"/>
      <c r="B56" s="62" t="e">
        <f>+#REF!</f>
        <v>#REF!</v>
      </c>
      <c r="C56" s="62" t="e">
        <f>+#REF!</f>
        <v>#REF!</v>
      </c>
      <c r="D56" s="62" t="e">
        <f t="shared" si="0"/>
        <v>#REF!</v>
      </c>
      <c r="F56" s="100" t="e">
        <f t="shared" si="14"/>
        <v>#REF!</v>
      </c>
      <c r="G56" s="100" t="e">
        <f t="shared" si="15"/>
        <v>#REF!</v>
      </c>
      <c r="H56" s="100" t="e">
        <f t="shared" si="16"/>
        <v>#REF!</v>
      </c>
      <c r="J56" s="62" t="e">
        <f>AVERAGE(B52:B55)</f>
        <v>#REF!</v>
      </c>
      <c r="K56" s="62" t="e">
        <f>AVERAGE(C52:C55)</f>
        <v>#REF!</v>
      </c>
      <c r="M56" s="62" t="e">
        <f t="shared" si="3"/>
        <v>#REF!</v>
      </c>
      <c r="N56" s="62" t="e">
        <f t="shared" si="4"/>
        <v>#REF!</v>
      </c>
      <c r="P56" s="62" t="e">
        <f t="shared" si="17"/>
        <v>#REF!</v>
      </c>
      <c r="Q56" s="62" t="e">
        <f t="shared" si="17"/>
        <v>#REF!</v>
      </c>
      <c r="S56" s="62" t="e">
        <f t="shared" si="8"/>
        <v>#REF!</v>
      </c>
      <c r="T56" s="62" t="e">
        <f t="shared" si="6"/>
        <v>#REF!</v>
      </c>
    </row>
    <row r="57" spans="1:20" ht="11.7" customHeight="1">
      <c r="A57" s="32"/>
      <c r="B57" s="62" t="e">
        <f>+#REF!</f>
        <v>#REF!</v>
      </c>
      <c r="C57" s="62" t="e">
        <f>+#REF!</f>
        <v>#REF!</v>
      </c>
      <c r="D57" s="62" t="e">
        <f t="shared" si="0"/>
        <v>#REF!</v>
      </c>
      <c r="F57" s="100" t="e">
        <f t="shared" si="14"/>
        <v>#REF!</v>
      </c>
      <c r="G57" s="100" t="e">
        <f t="shared" si="15"/>
        <v>#REF!</v>
      </c>
      <c r="H57" s="100" t="e">
        <f t="shared" si="16"/>
        <v>#REF!</v>
      </c>
      <c r="J57" s="62" t="e">
        <f t="shared" si="12"/>
        <v>#REF!</v>
      </c>
      <c r="K57" s="62" t="e">
        <f t="shared" si="13"/>
        <v>#REF!</v>
      </c>
      <c r="M57" s="62" t="e">
        <f t="shared" si="3"/>
        <v>#REF!</v>
      </c>
      <c r="N57" s="62" t="e">
        <f t="shared" si="4"/>
        <v>#REF!</v>
      </c>
      <c r="P57" s="62" t="e">
        <f t="shared" si="17"/>
        <v>#REF!</v>
      </c>
      <c r="Q57" s="62" t="e">
        <f t="shared" si="17"/>
        <v>#REF!</v>
      </c>
      <c r="S57" s="62" t="e">
        <f t="shared" si="8"/>
        <v>#REF!</v>
      </c>
      <c r="T57" s="62" t="e">
        <f t="shared" si="6"/>
        <v>#REF!</v>
      </c>
    </row>
    <row r="58" spans="1:20" ht="11.7" customHeight="1">
      <c r="A58" s="32"/>
      <c r="B58" s="62" t="e">
        <f>+#REF!</f>
        <v>#REF!</v>
      </c>
      <c r="C58" s="62" t="e">
        <f>+#REF!</f>
        <v>#REF!</v>
      </c>
      <c r="D58" s="62" t="e">
        <f t="shared" si="0"/>
        <v>#REF!</v>
      </c>
      <c r="F58" s="100" t="e">
        <f t="shared" si="14"/>
        <v>#REF!</v>
      </c>
      <c r="G58" s="100" t="e">
        <f t="shared" si="15"/>
        <v>#REF!</v>
      </c>
      <c r="H58" s="100" t="e">
        <f t="shared" si="16"/>
        <v>#REF!</v>
      </c>
      <c r="J58" s="62" t="e">
        <f t="shared" si="12"/>
        <v>#REF!</v>
      </c>
      <c r="K58" s="62" t="e">
        <f t="shared" si="13"/>
        <v>#REF!</v>
      </c>
      <c r="M58" s="62" t="e">
        <f t="shared" si="3"/>
        <v>#REF!</v>
      </c>
      <c r="N58" s="62" t="e">
        <f t="shared" si="4"/>
        <v>#REF!</v>
      </c>
      <c r="P58" s="62" t="e">
        <f t="shared" si="17"/>
        <v>#REF!</v>
      </c>
      <c r="Q58" s="62" t="e">
        <f t="shared" si="17"/>
        <v>#REF!</v>
      </c>
      <c r="S58" s="62" t="e">
        <f t="shared" si="8"/>
        <v>#REF!</v>
      </c>
      <c r="T58" s="62" t="e">
        <f t="shared" si="6"/>
        <v>#REF!</v>
      </c>
    </row>
    <row r="59" spans="1:20" ht="11.7" customHeight="1">
      <c r="A59" s="32"/>
      <c r="B59" s="62" t="e">
        <f>+#REF!</f>
        <v>#REF!</v>
      </c>
      <c r="C59" s="62" t="e">
        <f>+#REF!</f>
        <v>#REF!</v>
      </c>
      <c r="D59" s="62" t="e">
        <f t="shared" si="0"/>
        <v>#REF!</v>
      </c>
      <c r="F59" s="100" t="e">
        <f t="shared" si="14"/>
        <v>#REF!</v>
      </c>
      <c r="G59" s="100" t="e">
        <f t="shared" si="15"/>
        <v>#REF!</v>
      </c>
      <c r="H59" s="100" t="e">
        <f t="shared" si="16"/>
        <v>#REF!</v>
      </c>
      <c r="J59" s="62" t="e">
        <f t="shared" si="12"/>
        <v>#REF!</v>
      </c>
      <c r="K59" s="62" t="e">
        <f t="shared" si="13"/>
        <v>#REF!</v>
      </c>
      <c r="M59" s="62" t="e">
        <f t="shared" si="3"/>
        <v>#REF!</v>
      </c>
      <c r="N59" s="62" t="e">
        <f t="shared" si="4"/>
        <v>#REF!</v>
      </c>
      <c r="P59" s="62" t="e">
        <f t="shared" si="17"/>
        <v>#REF!</v>
      </c>
      <c r="Q59" s="62" t="e">
        <f t="shared" si="17"/>
        <v>#REF!</v>
      </c>
      <c r="S59" s="62" t="e">
        <f t="shared" si="8"/>
        <v>#REF!</v>
      </c>
      <c r="T59" s="62" t="e">
        <f t="shared" si="6"/>
        <v>#REF!</v>
      </c>
    </row>
    <row r="60" spans="1:20" ht="11.7" customHeight="1">
      <c r="A60" s="32" t="s">
        <v>17</v>
      </c>
      <c r="B60" s="62" t="e">
        <f>+#REF!</f>
        <v>#REF!</v>
      </c>
      <c r="C60" s="62" t="e">
        <f>+#REF!</f>
        <v>#REF!</v>
      </c>
      <c r="D60" s="62" t="e">
        <f t="shared" si="0"/>
        <v>#REF!</v>
      </c>
      <c r="F60" s="100" t="e">
        <f t="shared" si="14"/>
        <v>#REF!</v>
      </c>
      <c r="G60" s="100" t="e">
        <f t="shared" si="15"/>
        <v>#REF!</v>
      </c>
      <c r="H60" s="100" t="e">
        <f t="shared" si="16"/>
        <v>#REF!</v>
      </c>
      <c r="J60" s="62" t="e">
        <f t="shared" si="12"/>
        <v>#REF!</v>
      </c>
      <c r="K60" s="62" t="e">
        <f t="shared" si="13"/>
        <v>#REF!</v>
      </c>
      <c r="M60" s="62" t="e">
        <f t="shared" si="3"/>
        <v>#REF!</v>
      </c>
      <c r="N60" s="62" t="e">
        <f t="shared" si="4"/>
        <v>#REF!</v>
      </c>
      <c r="P60" s="62" t="e">
        <f t="shared" si="7"/>
        <v>#REF!</v>
      </c>
      <c r="Q60" s="62" t="e">
        <f t="shared" si="5"/>
        <v>#REF!</v>
      </c>
      <c r="S60" s="62" t="e">
        <f t="shared" si="8"/>
        <v>#REF!</v>
      </c>
      <c r="T60" s="62" t="e">
        <f t="shared" si="6"/>
        <v>#REF!</v>
      </c>
    </row>
    <row r="61" spans="1:20" ht="11.7" customHeight="1">
      <c r="A61" s="32"/>
      <c r="B61" s="62" t="e">
        <f>+#REF!</f>
        <v>#REF!</v>
      </c>
      <c r="C61" s="62" t="e">
        <f>+#REF!</f>
        <v>#REF!</v>
      </c>
      <c r="D61" s="62" t="e">
        <f t="shared" si="0"/>
        <v>#REF!</v>
      </c>
      <c r="F61" s="100" t="e">
        <f t="shared" si="14"/>
        <v>#REF!</v>
      </c>
      <c r="G61" s="100" t="e">
        <f t="shared" si="15"/>
        <v>#REF!</v>
      </c>
      <c r="H61" s="100" t="e">
        <f t="shared" si="16"/>
        <v>#REF!</v>
      </c>
      <c r="J61" s="62" t="e">
        <f t="shared" si="12"/>
        <v>#REF!</v>
      </c>
      <c r="K61" s="62" t="e">
        <f t="shared" si="13"/>
        <v>#REF!</v>
      </c>
      <c r="M61" s="62" t="e">
        <f t="shared" si="3"/>
        <v>#REF!</v>
      </c>
      <c r="N61" s="62" t="e">
        <f t="shared" si="4"/>
        <v>#REF!</v>
      </c>
      <c r="P61" s="62" t="e">
        <f t="shared" si="7"/>
        <v>#REF!</v>
      </c>
      <c r="Q61" s="62" t="e">
        <f t="shared" si="5"/>
        <v>#REF!</v>
      </c>
      <c r="S61" s="62" t="e">
        <f t="shared" si="8"/>
        <v>#REF!</v>
      </c>
      <c r="T61" s="62" t="e">
        <f t="shared" si="6"/>
        <v>#REF!</v>
      </c>
    </row>
    <row r="62" spans="1:20" ht="11.7" customHeight="1">
      <c r="A62" s="32"/>
      <c r="B62" s="62" t="e">
        <f>+#REF!</f>
        <v>#REF!</v>
      </c>
      <c r="C62" s="62" t="e">
        <f>+#REF!</f>
        <v>#REF!</v>
      </c>
      <c r="D62" s="62" t="e">
        <f t="shared" si="0"/>
        <v>#REF!</v>
      </c>
      <c r="F62" s="100" t="e">
        <f t="shared" si="14"/>
        <v>#REF!</v>
      </c>
      <c r="G62" s="100" t="e">
        <f t="shared" si="15"/>
        <v>#REF!</v>
      </c>
      <c r="H62" s="100" t="e">
        <f t="shared" si="16"/>
        <v>#REF!</v>
      </c>
      <c r="J62" s="62" t="e">
        <f t="shared" si="12"/>
        <v>#REF!</v>
      </c>
      <c r="K62" s="62" t="e">
        <f t="shared" si="13"/>
        <v>#REF!</v>
      </c>
      <c r="M62" s="62" t="e">
        <f t="shared" si="3"/>
        <v>#REF!</v>
      </c>
      <c r="N62" s="62" t="e">
        <f t="shared" si="4"/>
        <v>#REF!</v>
      </c>
      <c r="P62" s="62" t="e">
        <f t="shared" si="7"/>
        <v>#REF!</v>
      </c>
      <c r="Q62" s="62" t="e">
        <f t="shared" si="5"/>
        <v>#REF!</v>
      </c>
      <c r="S62" s="62" t="e">
        <f t="shared" si="8"/>
        <v>#REF!</v>
      </c>
      <c r="T62" s="62" t="e">
        <f t="shared" si="6"/>
        <v>#REF!</v>
      </c>
    </row>
    <row r="63" spans="1:20" ht="11.7" customHeight="1">
      <c r="A63" s="32"/>
      <c r="B63" s="62" t="e">
        <f>+#REF!</f>
        <v>#REF!</v>
      </c>
      <c r="C63" s="62" t="e">
        <f>+#REF!</f>
        <v>#REF!</v>
      </c>
      <c r="D63" s="62" t="e">
        <f t="shared" si="0"/>
        <v>#REF!</v>
      </c>
      <c r="F63" s="100" t="e">
        <f t="shared" si="14"/>
        <v>#REF!</v>
      </c>
      <c r="G63" s="100" t="e">
        <f t="shared" si="15"/>
        <v>#REF!</v>
      </c>
      <c r="H63" s="100" t="e">
        <f t="shared" si="16"/>
        <v>#REF!</v>
      </c>
      <c r="J63" s="62" t="e">
        <f t="shared" si="12"/>
        <v>#REF!</v>
      </c>
      <c r="K63" s="62" t="e">
        <f t="shared" si="13"/>
        <v>#REF!</v>
      </c>
      <c r="M63" s="62" t="e">
        <f t="shared" si="3"/>
        <v>#REF!</v>
      </c>
      <c r="N63" s="62" t="e">
        <f t="shared" si="4"/>
        <v>#REF!</v>
      </c>
      <c r="P63" s="62" t="e">
        <f t="shared" si="7"/>
        <v>#REF!</v>
      </c>
      <c r="Q63" s="62" t="e">
        <f t="shared" si="5"/>
        <v>#REF!</v>
      </c>
      <c r="S63" s="62" t="e">
        <f t="shared" si="8"/>
        <v>#REF!</v>
      </c>
      <c r="T63" s="62" t="e">
        <f t="shared" si="6"/>
        <v>#REF!</v>
      </c>
    </row>
    <row r="64" spans="1:20" ht="11.7" customHeight="1">
      <c r="A64" s="32"/>
      <c r="B64" s="62" t="e">
        <f>+#REF!</f>
        <v>#REF!</v>
      </c>
      <c r="C64" s="62" t="e">
        <f>+#REF!</f>
        <v>#REF!</v>
      </c>
      <c r="D64" s="62" t="e">
        <f t="shared" si="0"/>
        <v>#REF!</v>
      </c>
      <c r="F64" s="100" t="e">
        <f t="shared" si="14"/>
        <v>#REF!</v>
      </c>
      <c r="G64" s="100" t="e">
        <f t="shared" si="15"/>
        <v>#REF!</v>
      </c>
      <c r="H64" s="100" t="e">
        <f t="shared" si="16"/>
        <v>#REF!</v>
      </c>
      <c r="J64" s="62" t="e">
        <f t="shared" si="12"/>
        <v>#REF!</v>
      </c>
      <c r="K64" s="62" t="e">
        <f t="shared" si="13"/>
        <v>#REF!</v>
      </c>
      <c r="M64" s="62" t="e">
        <f t="shared" si="3"/>
        <v>#REF!</v>
      </c>
      <c r="N64" s="62" t="e">
        <f t="shared" si="4"/>
        <v>#REF!</v>
      </c>
      <c r="P64" s="62" t="e">
        <f t="shared" si="7"/>
        <v>#REF!</v>
      </c>
      <c r="Q64" s="62" t="e">
        <f t="shared" si="5"/>
        <v>#REF!</v>
      </c>
      <c r="S64" s="62" t="e">
        <f t="shared" si="8"/>
        <v>#REF!</v>
      </c>
      <c r="T64" s="62" t="e">
        <f t="shared" si="6"/>
        <v>#REF!</v>
      </c>
    </row>
    <row r="65" spans="1:20" ht="11.7" customHeight="1">
      <c r="A65" s="32"/>
      <c r="B65" s="62" t="e">
        <f>+#REF!</f>
        <v>#REF!</v>
      </c>
      <c r="C65" s="62" t="e">
        <f>+#REF!</f>
        <v>#REF!</v>
      </c>
      <c r="D65" s="62" t="e">
        <f t="shared" si="0"/>
        <v>#REF!</v>
      </c>
      <c r="F65" s="100" t="e">
        <f t="shared" si="14"/>
        <v>#REF!</v>
      </c>
      <c r="G65" s="100" t="e">
        <f t="shared" si="15"/>
        <v>#REF!</v>
      </c>
      <c r="H65" s="100" t="e">
        <f t="shared" si="16"/>
        <v>#REF!</v>
      </c>
      <c r="J65" s="62" t="e">
        <f t="shared" si="12"/>
        <v>#REF!</v>
      </c>
      <c r="K65" s="62" t="e">
        <f t="shared" si="13"/>
        <v>#REF!</v>
      </c>
      <c r="M65" s="62" t="e">
        <f t="shared" si="3"/>
        <v>#REF!</v>
      </c>
      <c r="N65" s="62" t="e">
        <f t="shared" si="4"/>
        <v>#REF!</v>
      </c>
      <c r="P65" s="62" t="e">
        <f t="shared" si="7"/>
        <v>#REF!</v>
      </c>
      <c r="Q65" s="62" t="e">
        <f t="shared" si="5"/>
        <v>#REF!</v>
      </c>
      <c r="S65" s="62" t="e">
        <f t="shared" si="8"/>
        <v>#REF!</v>
      </c>
      <c r="T65" s="62" t="e">
        <f t="shared" si="6"/>
        <v>#REF!</v>
      </c>
    </row>
    <row r="66" spans="1:20" ht="11.7" customHeight="1">
      <c r="A66" s="32" t="s">
        <v>180</v>
      </c>
      <c r="B66" s="62" t="e">
        <f>+#REF!</f>
        <v>#REF!</v>
      </c>
      <c r="C66" s="62" t="e">
        <f>+#REF!</f>
        <v>#REF!</v>
      </c>
      <c r="D66" s="62" t="e">
        <f t="shared" si="0"/>
        <v>#REF!</v>
      </c>
      <c r="F66" s="100" t="e">
        <f t="shared" ref="F66:F78" si="18">((B66/B54)-1)*100</f>
        <v>#REF!</v>
      </c>
      <c r="G66" s="100" t="e">
        <f t="shared" ref="G66:G78" si="19">((C66/C54)-1)*100</f>
        <v>#REF!</v>
      </c>
      <c r="H66" s="100" t="e">
        <f t="shared" ref="H66:H78" si="20">((D66/D54)-1)*100</f>
        <v>#REF!</v>
      </c>
      <c r="J66" s="62" t="e">
        <f t="shared" ref="J66:K68" si="21">AVERAGE(B63:B65)</f>
        <v>#REF!</v>
      </c>
      <c r="K66" s="62" t="e">
        <f t="shared" si="21"/>
        <v>#REF!</v>
      </c>
      <c r="M66" s="62" t="e">
        <f t="shared" si="3"/>
        <v>#REF!</v>
      </c>
      <c r="N66" s="62" t="e">
        <f t="shared" si="4"/>
        <v>#REF!</v>
      </c>
      <c r="P66" s="62" t="e">
        <f t="shared" ref="P66:Q71" si="22">AVERAGE(B60:B65)</f>
        <v>#REF!</v>
      </c>
      <c r="Q66" s="62" t="e">
        <f t="shared" si="22"/>
        <v>#REF!</v>
      </c>
      <c r="S66" s="62" t="e">
        <f t="shared" si="8"/>
        <v>#REF!</v>
      </c>
      <c r="T66" s="62" t="e">
        <f t="shared" si="6"/>
        <v>#REF!</v>
      </c>
    </row>
    <row r="67" spans="1:20" ht="11.7" customHeight="1">
      <c r="A67" s="32"/>
      <c r="B67" s="62" t="e">
        <f>+#REF!</f>
        <v>#REF!</v>
      </c>
      <c r="C67" s="62" t="e">
        <f>+#REF!</f>
        <v>#REF!</v>
      </c>
      <c r="D67" s="62" t="e">
        <f t="shared" si="0"/>
        <v>#REF!</v>
      </c>
      <c r="F67" s="100" t="e">
        <f t="shared" si="18"/>
        <v>#REF!</v>
      </c>
      <c r="G67" s="100" t="e">
        <f t="shared" si="19"/>
        <v>#REF!</v>
      </c>
      <c r="H67" s="100" t="e">
        <f t="shared" si="20"/>
        <v>#REF!</v>
      </c>
      <c r="J67" s="62" t="e">
        <f t="shared" si="21"/>
        <v>#REF!</v>
      </c>
      <c r="K67" s="62" t="e">
        <f t="shared" si="21"/>
        <v>#REF!</v>
      </c>
      <c r="M67" s="62" t="e">
        <f t="shared" si="3"/>
        <v>#REF!</v>
      </c>
      <c r="N67" s="62" t="e">
        <f t="shared" si="4"/>
        <v>#REF!</v>
      </c>
      <c r="P67" s="62" t="e">
        <f t="shared" si="22"/>
        <v>#REF!</v>
      </c>
      <c r="Q67" s="62" t="e">
        <f t="shared" si="22"/>
        <v>#REF!</v>
      </c>
      <c r="S67" s="62" t="e">
        <f t="shared" si="8"/>
        <v>#REF!</v>
      </c>
      <c r="T67" s="62" t="e">
        <f t="shared" si="6"/>
        <v>#REF!</v>
      </c>
    </row>
    <row r="68" spans="1:20" ht="11.7" customHeight="1">
      <c r="A68" s="32"/>
      <c r="B68" s="62" t="e">
        <f>+#REF!</f>
        <v>#REF!</v>
      </c>
      <c r="C68" s="62" t="e">
        <f>+#REF!</f>
        <v>#REF!</v>
      </c>
      <c r="D68" s="62" t="e">
        <f t="shared" si="0"/>
        <v>#REF!</v>
      </c>
      <c r="F68" s="100" t="e">
        <f t="shared" si="18"/>
        <v>#REF!</v>
      </c>
      <c r="G68" s="100" t="e">
        <f t="shared" si="19"/>
        <v>#REF!</v>
      </c>
      <c r="H68" s="100" t="e">
        <f t="shared" si="20"/>
        <v>#REF!</v>
      </c>
      <c r="J68" s="62" t="e">
        <f t="shared" si="21"/>
        <v>#REF!</v>
      </c>
      <c r="K68" s="62" t="e">
        <f t="shared" si="21"/>
        <v>#REF!</v>
      </c>
      <c r="M68" s="62" t="e">
        <f t="shared" si="3"/>
        <v>#REF!</v>
      </c>
      <c r="N68" s="62" t="e">
        <f t="shared" si="4"/>
        <v>#REF!</v>
      </c>
      <c r="P68" s="62" t="e">
        <f t="shared" si="22"/>
        <v>#REF!</v>
      </c>
      <c r="Q68" s="62" t="e">
        <f t="shared" si="22"/>
        <v>#REF!</v>
      </c>
      <c r="S68" s="62" t="e">
        <f t="shared" si="8"/>
        <v>#REF!</v>
      </c>
      <c r="T68" s="62" t="e">
        <f t="shared" si="6"/>
        <v>#REF!</v>
      </c>
    </row>
    <row r="69" spans="1:20" ht="11.7" customHeight="1">
      <c r="A69" s="32"/>
      <c r="B69" s="62" t="e">
        <f>+#REF!</f>
        <v>#REF!</v>
      </c>
      <c r="C69" s="62" t="e">
        <f>+#REF!</f>
        <v>#REF!</v>
      </c>
      <c r="D69" s="62" t="e">
        <f t="shared" si="0"/>
        <v>#REF!</v>
      </c>
      <c r="F69" s="100" t="e">
        <f t="shared" si="18"/>
        <v>#REF!</v>
      </c>
      <c r="G69" s="100" t="e">
        <f t="shared" si="19"/>
        <v>#REF!</v>
      </c>
      <c r="H69" s="100" t="e">
        <f t="shared" si="20"/>
        <v>#REF!</v>
      </c>
      <c r="J69" s="62" t="e">
        <f t="shared" si="12"/>
        <v>#REF!</v>
      </c>
      <c r="K69" s="62" t="e">
        <f t="shared" si="13"/>
        <v>#REF!</v>
      </c>
      <c r="M69" s="62" t="e">
        <f t="shared" si="3"/>
        <v>#REF!</v>
      </c>
      <c r="N69" s="62" t="e">
        <f t="shared" si="4"/>
        <v>#REF!</v>
      </c>
      <c r="P69" s="62" t="e">
        <f t="shared" si="22"/>
        <v>#REF!</v>
      </c>
      <c r="Q69" s="62" t="e">
        <f t="shared" si="22"/>
        <v>#REF!</v>
      </c>
      <c r="S69" s="62" t="e">
        <f t="shared" si="8"/>
        <v>#REF!</v>
      </c>
      <c r="T69" s="62" t="e">
        <f t="shared" si="6"/>
        <v>#REF!</v>
      </c>
    </row>
    <row r="70" spans="1:20" ht="11.7" customHeight="1">
      <c r="A70" s="32"/>
      <c r="B70" s="62" t="e">
        <f>+#REF!</f>
        <v>#REF!</v>
      </c>
      <c r="C70" s="62" t="e">
        <f>+#REF!</f>
        <v>#REF!</v>
      </c>
      <c r="D70" s="62" t="e">
        <f t="shared" si="0"/>
        <v>#REF!</v>
      </c>
      <c r="F70" s="100" t="e">
        <f t="shared" si="18"/>
        <v>#REF!</v>
      </c>
      <c r="G70" s="100" t="e">
        <f t="shared" si="19"/>
        <v>#REF!</v>
      </c>
      <c r="H70" s="100" t="e">
        <f t="shared" si="20"/>
        <v>#REF!</v>
      </c>
      <c r="J70" s="62" t="e">
        <f t="shared" si="12"/>
        <v>#REF!</v>
      </c>
      <c r="K70" s="62" t="e">
        <f t="shared" si="13"/>
        <v>#REF!</v>
      </c>
      <c r="M70" s="62" t="e">
        <f t="shared" si="3"/>
        <v>#REF!</v>
      </c>
      <c r="N70" s="62" t="e">
        <f t="shared" si="4"/>
        <v>#REF!</v>
      </c>
      <c r="P70" s="62" t="e">
        <f t="shared" si="22"/>
        <v>#REF!</v>
      </c>
      <c r="Q70" s="62" t="e">
        <f t="shared" si="22"/>
        <v>#REF!</v>
      </c>
      <c r="S70" s="62" t="e">
        <f t="shared" si="8"/>
        <v>#REF!</v>
      </c>
      <c r="T70" s="62" t="e">
        <f t="shared" si="6"/>
        <v>#REF!</v>
      </c>
    </row>
    <row r="71" spans="1:20" ht="11.7" customHeight="1">
      <c r="A71" s="32"/>
      <c r="B71" s="62" t="e">
        <f>+#REF!</f>
        <v>#REF!</v>
      </c>
      <c r="C71" s="62" t="e">
        <f>+#REF!</f>
        <v>#REF!</v>
      </c>
      <c r="D71" s="62" t="e">
        <f t="shared" ref="D71:D78" si="23">+B71-C71</f>
        <v>#REF!</v>
      </c>
      <c r="F71" s="100" t="e">
        <f t="shared" si="18"/>
        <v>#REF!</v>
      </c>
      <c r="G71" s="100" t="e">
        <f t="shared" si="19"/>
        <v>#REF!</v>
      </c>
      <c r="H71" s="100" t="e">
        <f t="shared" si="20"/>
        <v>#REF!</v>
      </c>
      <c r="J71" s="62" t="e">
        <f t="shared" si="12"/>
        <v>#REF!</v>
      </c>
      <c r="K71" s="62" t="e">
        <f t="shared" si="13"/>
        <v>#REF!</v>
      </c>
      <c r="M71" s="62" t="e">
        <f t="shared" si="3"/>
        <v>#REF!</v>
      </c>
      <c r="N71" s="62" t="e">
        <f t="shared" si="4"/>
        <v>#REF!</v>
      </c>
      <c r="P71" s="62" t="e">
        <f t="shared" si="22"/>
        <v>#REF!</v>
      </c>
      <c r="Q71" s="62" t="e">
        <f t="shared" si="22"/>
        <v>#REF!</v>
      </c>
      <c r="S71" s="62" t="e">
        <f t="shared" si="8"/>
        <v>#REF!</v>
      </c>
      <c r="T71" s="62" t="e">
        <f t="shared" si="6"/>
        <v>#REF!</v>
      </c>
    </row>
    <row r="72" spans="1:20" ht="11.7" customHeight="1">
      <c r="A72" s="32" t="s">
        <v>17</v>
      </c>
      <c r="B72" s="62" t="e">
        <f>+#REF!</f>
        <v>#REF!</v>
      </c>
      <c r="C72" s="62" t="e">
        <f>+#REF!</f>
        <v>#REF!</v>
      </c>
      <c r="D72" s="62" t="e">
        <f t="shared" si="23"/>
        <v>#REF!</v>
      </c>
      <c r="F72" s="100" t="e">
        <f t="shared" si="18"/>
        <v>#REF!</v>
      </c>
      <c r="G72" s="100" t="e">
        <f t="shared" si="19"/>
        <v>#REF!</v>
      </c>
      <c r="H72" s="100" t="e">
        <f t="shared" si="20"/>
        <v>#REF!</v>
      </c>
      <c r="J72" s="62" t="e">
        <f t="shared" si="12"/>
        <v>#REF!</v>
      </c>
      <c r="K72" s="62" t="e">
        <f t="shared" si="13"/>
        <v>#REF!</v>
      </c>
      <c r="M72" s="62" t="e">
        <f t="shared" si="3"/>
        <v>#REF!</v>
      </c>
      <c r="N72" s="62" t="e">
        <f t="shared" si="4"/>
        <v>#REF!</v>
      </c>
      <c r="P72" s="62" t="e">
        <f t="shared" si="7"/>
        <v>#REF!</v>
      </c>
      <c r="Q72" s="62" t="e">
        <f t="shared" si="5"/>
        <v>#REF!</v>
      </c>
      <c r="S72" s="62" t="e">
        <f t="shared" si="8"/>
        <v>#REF!</v>
      </c>
      <c r="T72" s="62" t="e">
        <f t="shared" si="6"/>
        <v>#REF!</v>
      </c>
    </row>
    <row r="73" spans="1:20" ht="11.7" customHeight="1">
      <c r="A73" s="32"/>
      <c r="B73" s="62" t="e">
        <f>+#REF!</f>
        <v>#REF!</v>
      </c>
      <c r="C73" s="62" t="e">
        <f>+#REF!</f>
        <v>#REF!</v>
      </c>
      <c r="D73" s="62" t="e">
        <f t="shared" si="23"/>
        <v>#REF!</v>
      </c>
      <c r="F73" s="100" t="e">
        <f t="shared" si="18"/>
        <v>#REF!</v>
      </c>
      <c r="G73" s="100" t="e">
        <f t="shared" si="19"/>
        <v>#REF!</v>
      </c>
      <c r="H73" s="100" t="e">
        <f t="shared" si="20"/>
        <v>#REF!</v>
      </c>
      <c r="J73" s="62" t="e">
        <f t="shared" si="12"/>
        <v>#REF!</v>
      </c>
      <c r="K73" s="62" t="e">
        <f t="shared" si="13"/>
        <v>#REF!</v>
      </c>
      <c r="M73" s="62" t="e">
        <f t="shared" si="3"/>
        <v>#REF!</v>
      </c>
      <c r="N73" s="62" t="e">
        <f t="shared" si="4"/>
        <v>#REF!</v>
      </c>
      <c r="P73" s="62" t="e">
        <f t="shared" si="7"/>
        <v>#REF!</v>
      </c>
      <c r="Q73" s="62" t="e">
        <f t="shared" si="5"/>
        <v>#REF!</v>
      </c>
      <c r="S73" s="62" t="e">
        <f t="shared" si="8"/>
        <v>#REF!</v>
      </c>
      <c r="T73" s="62" t="e">
        <f t="shared" si="6"/>
        <v>#REF!</v>
      </c>
    </row>
    <row r="74" spans="1:20" ht="11.7" customHeight="1">
      <c r="A74" s="32"/>
      <c r="B74" s="62" t="e">
        <f>+#REF!</f>
        <v>#REF!</v>
      </c>
      <c r="C74" s="62" t="e">
        <f>+#REF!</f>
        <v>#REF!</v>
      </c>
      <c r="D74" s="62" t="e">
        <f t="shared" si="23"/>
        <v>#REF!</v>
      </c>
      <c r="F74" s="100" t="e">
        <f t="shared" si="18"/>
        <v>#REF!</v>
      </c>
      <c r="G74" s="100" t="e">
        <f t="shared" si="19"/>
        <v>#REF!</v>
      </c>
      <c r="H74" s="100" t="e">
        <f t="shared" si="20"/>
        <v>#REF!</v>
      </c>
      <c r="J74" s="62" t="e">
        <f t="shared" si="12"/>
        <v>#REF!</v>
      </c>
      <c r="K74" s="62" t="e">
        <f t="shared" si="13"/>
        <v>#REF!</v>
      </c>
      <c r="M74" s="62" t="e">
        <f t="shared" si="3"/>
        <v>#REF!</v>
      </c>
      <c r="N74" s="62" t="e">
        <f t="shared" si="4"/>
        <v>#REF!</v>
      </c>
      <c r="P74" s="62" t="e">
        <f t="shared" si="7"/>
        <v>#REF!</v>
      </c>
      <c r="Q74" s="62" t="e">
        <f t="shared" si="5"/>
        <v>#REF!</v>
      </c>
      <c r="S74" s="62" t="e">
        <f t="shared" si="8"/>
        <v>#REF!</v>
      </c>
      <c r="T74" s="62" t="e">
        <f t="shared" si="6"/>
        <v>#REF!</v>
      </c>
    </row>
    <row r="75" spans="1:20" ht="11.7" customHeight="1">
      <c r="A75" s="32"/>
      <c r="B75" s="62" t="e">
        <f>+#REF!</f>
        <v>#REF!</v>
      </c>
      <c r="C75" s="62" t="e">
        <f>+#REF!</f>
        <v>#REF!</v>
      </c>
      <c r="D75" s="62" t="e">
        <f t="shared" si="23"/>
        <v>#REF!</v>
      </c>
      <c r="F75" s="100" t="e">
        <f t="shared" si="18"/>
        <v>#REF!</v>
      </c>
      <c r="G75" s="100" t="e">
        <f t="shared" si="19"/>
        <v>#REF!</v>
      </c>
      <c r="H75" s="100" t="e">
        <f t="shared" si="20"/>
        <v>#REF!</v>
      </c>
      <c r="J75" s="62" t="e">
        <f t="shared" si="12"/>
        <v>#REF!</v>
      </c>
      <c r="K75" s="62" t="e">
        <f t="shared" si="13"/>
        <v>#REF!</v>
      </c>
      <c r="M75" s="62" t="e">
        <f t="shared" si="3"/>
        <v>#REF!</v>
      </c>
      <c r="N75" s="62" t="e">
        <f t="shared" si="4"/>
        <v>#REF!</v>
      </c>
      <c r="P75" s="62" t="e">
        <f t="shared" si="7"/>
        <v>#REF!</v>
      </c>
      <c r="Q75" s="62" t="e">
        <f t="shared" si="5"/>
        <v>#REF!</v>
      </c>
      <c r="S75" s="62" t="e">
        <f t="shared" si="8"/>
        <v>#REF!</v>
      </c>
      <c r="T75" s="62" t="e">
        <f t="shared" si="6"/>
        <v>#REF!</v>
      </c>
    </row>
    <row r="76" spans="1:20" ht="11.7" customHeight="1">
      <c r="A76" s="32"/>
      <c r="B76" s="62" t="e">
        <f>+ประมาณ54US_SEP!M19</f>
        <v>#REF!</v>
      </c>
      <c r="C76" s="62" t="e">
        <f>+#REF!</f>
        <v>#REF!</v>
      </c>
      <c r="D76" s="62" t="e">
        <f t="shared" si="23"/>
        <v>#REF!</v>
      </c>
      <c r="F76" s="100" t="e">
        <f t="shared" si="18"/>
        <v>#REF!</v>
      </c>
      <c r="G76" s="100" t="e">
        <f t="shared" si="19"/>
        <v>#REF!</v>
      </c>
      <c r="H76" s="100" t="e">
        <f t="shared" si="20"/>
        <v>#REF!</v>
      </c>
      <c r="J76" s="62" t="e">
        <f t="shared" si="12"/>
        <v>#REF!</v>
      </c>
      <c r="K76" s="62" t="e">
        <f t="shared" si="13"/>
        <v>#REF!</v>
      </c>
      <c r="M76" s="62" t="e">
        <f t="shared" si="3"/>
        <v>#REF!</v>
      </c>
      <c r="N76" s="62" t="e">
        <f t="shared" si="4"/>
        <v>#REF!</v>
      </c>
      <c r="P76" s="62" t="e">
        <f t="shared" si="7"/>
        <v>#REF!</v>
      </c>
      <c r="Q76" s="62" t="e">
        <f t="shared" si="5"/>
        <v>#REF!</v>
      </c>
      <c r="S76" s="62" t="e">
        <f t="shared" si="8"/>
        <v>#REF!</v>
      </c>
      <c r="T76" s="62" t="e">
        <f t="shared" si="6"/>
        <v>#REF!</v>
      </c>
    </row>
    <row r="77" spans="1:20" ht="12.45" customHeight="1">
      <c r="A77" s="32"/>
      <c r="B77" s="62" t="e">
        <f>+ประมาณ54US_SEP!M20</f>
        <v>#REF!</v>
      </c>
      <c r="C77" s="62" t="e">
        <f>+#REF!</f>
        <v>#REF!</v>
      </c>
      <c r="D77" s="62" t="e">
        <f t="shared" si="23"/>
        <v>#REF!</v>
      </c>
      <c r="F77" s="100" t="e">
        <f t="shared" si="18"/>
        <v>#REF!</v>
      </c>
      <c r="G77" s="100" t="e">
        <f t="shared" si="19"/>
        <v>#REF!</v>
      </c>
      <c r="H77" s="100" t="e">
        <f t="shared" si="20"/>
        <v>#REF!</v>
      </c>
      <c r="J77" s="62" t="e">
        <f t="shared" si="12"/>
        <v>#REF!</v>
      </c>
      <c r="K77" s="62" t="e">
        <f t="shared" si="13"/>
        <v>#REF!</v>
      </c>
      <c r="M77" s="62" t="e">
        <f t="shared" si="3"/>
        <v>#REF!</v>
      </c>
      <c r="N77" s="62" t="e">
        <f t="shared" si="4"/>
        <v>#REF!</v>
      </c>
      <c r="P77" s="62" t="e">
        <f t="shared" si="7"/>
        <v>#REF!</v>
      </c>
      <c r="Q77" s="62" t="e">
        <f t="shared" si="5"/>
        <v>#REF!</v>
      </c>
      <c r="S77" s="62" t="e">
        <f t="shared" si="8"/>
        <v>#REF!</v>
      </c>
      <c r="T77" s="62" t="e">
        <f t="shared" si="6"/>
        <v>#REF!</v>
      </c>
    </row>
    <row r="78" spans="1:20" ht="12.45" customHeight="1">
      <c r="A78" s="32" t="s">
        <v>181</v>
      </c>
      <c r="B78" s="62" t="e">
        <f>+#REF!</f>
        <v>#REF!</v>
      </c>
      <c r="C78" s="62" t="e">
        <f>+#REF!</f>
        <v>#REF!</v>
      </c>
      <c r="D78" s="62" t="e">
        <f t="shared" si="23"/>
        <v>#REF!</v>
      </c>
      <c r="F78" s="100" t="e">
        <f t="shared" si="18"/>
        <v>#REF!</v>
      </c>
      <c r="G78" s="100" t="e">
        <f t="shared" si="19"/>
        <v>#REF!</v>
      </c>
      <c r="H78" s="100" t="e">
        <f t="shared" si="20"/>
        <v>#REF!</v>
      </c>
      <c r="J78" s="62" t="e">
        <f t="shared" si="12"/>
        <v>#REF!</v>
      </c>
      <c r="K78" s="62" t="e">
        <f t="shared" si="13"/>
        <v>#REF!</v>
      </c>
      <c r="M78" s="62" t="e">
        <f t="shared" si="3"/>
        <v>#REF!</v>
      </c>
      <c r="N78" s="62" t="e">
        <f t="shared" si="4"/>
        <v>#REF!</v>
      </c>
      <c r="P78" s="62" t="e">
        <f t="shared" si="7"/>
        <v>#REF!</v>
      </c>
      <c r="Q78" s="62" t="e">
        <f t="shared" si="5"/>
        <v>#REF!</v>
      </c>
      <c r="S78" s="62" t="e">
        <f t="shared" si="8"/>
        <v>#REF!</v>
      </c>
      <c r="T78" s="62" t="e">
        <f t="shared" si="6"/>
        <v>#REF!</v>
      </c>
    </row>
    <row r="79" spans="1:20" ht="12.45" customHeight="1">
      <c r="B79" s="62" t="e">
        <f>+#REF!</f>
        <v>#REF!</v>
      </c>
      <c r="C79" s="62" t="e">
        <f>+#REF!</f>
        <v>#REF!</v>
      </c>
      <c r="D79" s="62" t="e">
        <f t="shared" ref="D79:D85" si="24">+B79-C79</f>
        <v>#REF!</v>
      </c>
      <c r="F79" s="100" t="e">
        <f t="shared" ref="F79:H82" si="25">((B79/B67)-1)*100</f>
        <v>#REF!</v>
      </c>
      <c r="G79" s="100" t="e">
        <f t="shared" si="25"/>
        <v>#REF!</v>
      </c>
      <c r="H79" s="100" t="e">
        <f t="shared" si="25"/>
        <v>#REF!</v>
      </c>
      <c r="J79" s="62" t="e">
        <f t="shared" si="12"/>
        <v>#REF!</v>
      </c>
      <c r="K79" s="62" t="e">
        <f t="shared" si="13"/>
        <v>#REF!</v>
      </c>
      <c r="M79" s="62" t="e">
        <f t="shared" si="3"/>
        <v>#REF!</v>
      </c>
      <c r="N79" s="62" t="e">
        <f t="shared" si="4"/>
        <v>#REF!</v>
      </c>
      <c r="P79" s="62" t="e">
        <f t="shared" si="7"/>
        <v>#REF!</v>
      </c>
      <c r="Q79" s="62" t="e">
        <f t="shared" si="5"/>
        <v>#REF!</v>
      </c>
      <c r="S79" s="62" t="e">
        <f t="shared" si="8"/>
        <v>#REF!</v>
      </c>
      <c r="T79" s="62" t="e">
        <f t="shared" si="6"/>
        <v>#REF!</v>
      </c>
    </row>
    <row r="80" spans="1:20" ht="12.45" customHeight="1">
      <c r="B80" s="62" t="e">
        <f>+#REF!</f>
        <v>#REF!</v>
      </c>
      <c r="C80" s="62" t="e">
        <f>+#REF!</f>
        <v>#REF!</v>
      </c>
      <c r="D80" s="62" t="e">
        <f t="shared" si="24"/>
        <v>#REF!</v>
      </c>
      <c r="F80" s="100" t="e">
        <f t="shared" si="25"/>
        <v>#REF!</v>
      </c>
      <c r="G80" s="100" t="e">
        <f t="shared" si="25"/>
        <v>#REF!</v>
      </c>
      <c r="H80" s="100" t="e">
        <f t="shared" si="25"/>
        <v>#REF!</v>
      </c>
      <c r="J80" s="62" t="e">
        <f t="shared" si="12"/>
        <v>#REF!</v>
      </c>
      <c r="K80" s="62" t="e">
        <f t="shared" si="13"/>
        <v>#REF!</v>
      </c>
      <c r="M80" s="62" t="e">
        <f t="shared" si="3"/>
        <v>#REF!</v>
      </c>
      <c r="N80" s="62" t="e">
        <f t="shared" si="4"/>
        <v>#REF!</v>
      </c>
      <c r="P80" s="62" t="e">
        <f t="shared" si="7"/>
        <v>#REF!</v>
      </c>
      <c r="Q80" s="62" t="e">
        <f t="shared" si="5"/>
        <v>#REF!</v>
      </c>
      <c r="S80" s="62" t="e">
        <f t="shared" si="8"/>
        <v>#REF!</v>
      </c>
      <c r="T80" s="62" t="e">
        <f t="shared" si="6"/>
        <v>#REF!</v>
      </c>
    </row>
    <row r="81" spans="1:20" ht="12.45" customHeight="1">
      <c r="B81" s="62" t="e">
        <f>+#REF!</f>
        <v>#REF!</v>
      </c>
      <c r="C81" s="62" t="e">
        <f>+#REF!</f>
        <v>#REF!</v>
      </c>
      <c r="D81" s="62" t="e">
        <f t="shared" si="24"/>
        <v>#REF!</v>
      </c>
      <c r="F81" s="100" t="e">
        <f t="shared" si="25"/>
        <v>#REF!</v>
      </c>
      <c r="G81" s="100" t="e">
        <f t="shared" si="25"/>
        <v>#REF!</v>
      </c>
      <c r="H81" s="100" t="e">
        <f t="shared" si="25"/>
        <v>#REF!</v>
      </c>
      <c r="J81" s="62" t="e">
        <f t="shared" si="12"/>
        <v>#REF!</v>
      </c>
      <c r="K81" s="62" t="e">
        <f t="shared" si="13"/>
        <v>#REF!</v>
      </c>
      <c r="M81" s="62" t="e">
        <f t="shared" si="3"/>
        <v>#REF!</v>
      </c>
      <c r="N81" s="62" t="e">
        <f t="shared" si="4"/>
        <v>#REF!</v>
      </c>
      <c r="P81" s="62" t="e">
        <f t="shared" si="7"/>
        <v>#REF!</v>
      </c>
      <c r="Q81" s="62" t="e">
        <f t="shared" si="5"/>
        <v>#REF!</v>
      </c>
      <c r="S81" s="62" t="e">
        <f t="shared" si="8"/>
        <v>#REF!</v>
      </c>
      <c r="T81" s="62" t="e">
        <f t="shared" si="6"/>
        <v>#REF!</v>
      </c>
    </row>
    <row r="82" spans="1:20" ht="12.45" customHeight="1">
      <c r="B82" s="62" t="e">
        <f>+#REF!</f>
        <v>#REF!</v>
      </c>
      <c r="C82" s="62" t="e">
        <f>+#REF!</f>
        <v>#REF!</v>
      </c>
      <c r="D82" s="62" t="e">
        <f t="shared" si="24"/>
        <v>#REF!</v>
      </c>
      <c r="F82" s="100" t="e">
        <f t="shared" si="25"/>
        <v>#REF!</v>
      </c>
      <c r="G82" s="100" t="e">
        <f t="shared" si="25"/>
        <v>#REF!</v>
      </c>
      <c r="H82" s="100" t="e">
        <f t="shared" si="25"/>
        <v>#REF!</v>
      </c>
      <c r="J82" s="62" t="e">
        <f t="shared" si="12"/>
        <v>#REF!</v>
      </c>
      <c r="K82" s="62" t="e">
        <f t="shared" si="13"/>
        <v>#REF!</v>
      </c>
      <c r="M82" s="62" t="e">
        <f t="shared" si="3"/>
        <v>#REF!</v>
      </c>
      <c r="N82" s="62" t="e">
        <f t="shared" si="4"/>
        <v>#REF!</v>
      </c>
      <c r="P82" s="62" t="e">
        <f t="shared" si="7"/>
        <v>#REF!</v>
      </c>
      <c r="Q82" s="62" t="e">
        <f t="shared" si="5"/>
        <v>#REF!</v>
      </c>
      <c r="S82" s="62" t="e">
        <f t="shared" si="8"/>
        <v>#REF!</v>
      </c>
      <c r="T82" s="62" t="e">
        <f t="shared" si="6"/>
        <v>#REF!</v>
      </c>
    </row>
    <row r="83" spans="1:20" ht="12.45" customHeight="1">
      <c r="B83" s="62" t="e">
        <f>+#REF!</f>
        <v>#REF!</v>
      </c>
      <c r="C83" s="62" t="e">
        <f>+#REF!</f>
        <v>#REF!</v>
      </c>
      <c r="D83" s="62" t="e">
        <f t="shared" si="24"/>
        <v>#REF!</v>
      </c>
      <c r="F83" s="100" t="e">
        <f t="shared" ref="F83:H84" si="26">((B83/B71)-1)*100</f>
        <v>#REF!</v>
      </c>
      <c r="G83" s="100" t="e">
        <f t="shared" si="26"/>
        <v>#REF!</v>
      </c>
      <c r="H83" s="100" t="e">
        <f t="shared" si="26"/>
        <v>#REF!</v>
      </c>
      <c r="J83" s="62" t="e">
        <f t="shared" ref="J83:K85" si="27">AVERAGE(B80:B82)</f>
        <v>#REF!</v>
      </c>
      <c r="K83" s="62" t="e">
        <f t="shared" si="27"/>
        <v>#REF!</v>
      </c>
      <c r="M83" s="62" t="e">
        <f t="shared" si="3"/>
        <v>#REF!</v>
      </c>
      <c r="N83" s="62" t="e">
        <f t="shared" si="4"/>
        <v>#REF!</v>
      </c>
      <c r="P83" s="62" t="e">
        <f t="shared" si="7"/>
        <v>#REF!</v>
      </c>
      <c r="Q83" s="62" t="e">
        <f t="shared" si="5"/>
        <v>#REF!</v>
      </c>
      <c r="S83" s="62" t="e">
        <f t="shared" si="8"/>
        <v>#REF!</v>
      </c>
      <c r="T83" s="62" t="e">
        <f t="shared" si="6"/>
        <v>#REF!</v>
      </c>
    </row>
    <row r="84" spans="1:20" ht="12.45" customHeight="1">
      <c r="A84" s="32" t="s">
        <v>17</v>
      </c>
      <c r="B84" s="62" t="e">
        <f>+#REF!</f>
        <v>#REF!</v>
      </c>
      <c r="C84" s="62" t="e">
        <f>+#REF!</f>
        <v>#REF!</v>
      </c>
      <c r="D84" s="62" t="e">
        <f t="shared" si="24"/>
        <v>#REF!</v>
      </c>
      <c r="F84" s="100" t="e">
        <f t="shared" si="26"/>
        <v>#REF!</v>
      </c>
      <c r="G84" s="100" t="e">
        <f t="shared" si="26"/>
        <v>#REF!</v>
      </c>
      <c r="H84" s="100" t="e">
        <f t="shared" si="26"/>
        <v>#REF!</v>
      </c>
      <c r="J84" s="62" t="e">
        <f t="shared" si="27"/>
        <v>#REF!</v>
      </c>
      <c r="K84" s="62" t="e">
        <f t="shared" si="27"/>
        <v>#REF!</v>
      </c>
      <c r="M84" s="62" t="e">
        <f t="shared" ref="M84:M97" si="28">+B84-J84</f>
        <v>#REF!</v>
      </c>
      <c r="N84" s="62" t="e">
        <f t="shared" ref="N84:N97" si="29">+C84-K84</f>
        <v>#REF!</v>
      </c>
      <c r="P84" s="62" t="e">
        <f t="shared" si="7"/>
        <v>#REF!</v>
      </c>
      <c r="Q84" s="62" t="e">
        <f t="shared" si="5"/>
        <v>#REF!</v>
      </c>
      <c r="S84" s="62" t="e">
        <f t="shared" si="8"/>
        <v>#REF!</v>
      </c>
      <c r="T84" s="62" t="e">
        <f t="shared" si="6"/>
        <v>#REF!</v>
      </c>
    </row>
    <row r="85" spans="1:20" ht="12.45" customHeight="1">
      <c r="B85" s="62" t="e">
        <f>+#REF!</f>
        <v>#REF!</v>
      </c>
      <c r="C85" s="62" t="e">
        <f>+#REF!</f>
        <v>#REF!</v>
      </c>
      <c r="D85" s="62" t="e">
        <f t="shared" si="24"/>
        <v>#REF!</v>
      </c>
      <c r="F85" s="100" t="e">
        <f t="shared" ref="F85:H86" si="30">((B85/B73)-1)*100</f>
        <v>#REF!</v>
      </c>
      <c r="G85" s="100" t="e">
        <f t="shared" si="30"/>
        <v>#REF!</v>
      </c>
      <c r="H85" s="100" t="e">
        <f t="shared" si="30"/>
        <v>#REF!</v>
      </c>
      <c r="J85" s="62" t="e">
        <f t="shared" si="27"/>
        <v>#REF!</v>
      </c>
      <c r="K85" s="62" t="e">
        <f t="shared" si="27"/>
        <v>#REF!</v>
      </c>
      <c r="M85" s="62" t="e">
        <f t="shared" si="28"/>
        <v>#REF!</v>
      </c>
      <c r="N85" s="62" t="e">
        <f t="shared" si="29"/>
        <v>#REF!</v>
      </c>
      <c r="P85" s="62" t="e">
        <f t="shared" si="7"/>
        <v>#REF!</v>
      </c>
      <c r="Q85" s="62" t="e">
        <f t="shared" si="5"/>
        <v>#REF!</v>
      </c>
      <c r="S85" s="62" t="e">
        <f t="shared" si="8"/>
        <v>#REF!</v>
      </c>
      <c r="T85" s="62" t="e">
        <f t="shared" si="6"/>
        <v>#REF!</v>
      </c>
    </row>
    <row r="86" spans="1:20" ht="12.45" customHeight="1">
      <c r="B86" s="62" t="e">
        <f>+#REF!</f>
        <v>#REF!</v>
      </c>
      <c r="C86" s="62" t="e">
        <f>+#REF!</f>
        <v>#REF!</v>
      </c>
      <c r="D86" s="62" t="e">
        <f>+B86-C86</f>
        <v>#REF!</v>
      </c>
      <c r="F86" s="100" t="e">
        <f t="shared" si="30"/>
        <v>#REF!</v>
      </c>
      <c r="G86" s="100" t="e">
        <f t="shared" si="30"/>
        <v>#REF!</v>
      </c>
      <c r="H86" s="100" t="e">
        <f t="shared" si="30"/>
        <v>#REF!</v>
      </c>
      <c r="J86" s="62" t="e">
        <f>AVERAGE(B83:B85)</f>
        <v>#REF!</v>
      </c>
      <c r="K86" s="62" t="e">
        <f>AVERAGE(C83:C85)</f>
        <v>#REF!</v>
      </c>
      <c r="M86" s="62" t="e">
        <f t="shared" si="28"/>
        <v>#REF!</v>
      </c>
      <c r="N86" s="62" t="e">
        <f t="shared" si="29"/>
        <v>#REF!</v>
      </c>
      <c r="P86" s="62" t="e">
        <f t="shared" si="7"/>
        <v>#REF!</v>
      </c>
      <c r="Q86" s="62" t="e">
        <f t="shared" si="5"/>
        <v>#REF!</v>
      </c>
      <c r="S86" s="62" t="e">
        <f t="shared" si="8"/>
        <v>#REF!</v>
      </c>
      <c r="T86" s="62" t="e">
        <f t="shared" si="6"/>
        <v>#REF!</v>
      </c>
    </row>
    <row r="87" spans="1:20" ht="12.45" customHeight="1">
      <c r="B87" s="62" t="e">
        <f>+#REF!</f>
        <v>#REF!</v>
      </c>
      <c r="C87" s="62" t="e">
        <f>+#REF!</f>
        <v>#REF!</v>
      </c>
      <c r="D87" s="62" t="e">
        <f t="shared" ref="D87:D97" si="31">+B87-C87</f>
        <v>#REF!</v>
      </c>
      <c r="F87" s="100" t="e">
        <f t="shared" ref="F87:F93" si="32">((B87/B75)-1)*100</f>
        <v>#REF!</v>
      </c>
      <c r="G87" s="100" t="e">
        <f t="shared" ref="G87:G93" si="33">((C87/C75)-1)*100</f>
        <v>#REF!</v>
      </c>
      <c r="H87" s="100" t="e">
        <f t="shared" ref="H87:H93" si="34">((D87/D75)-1)*100</f>
        <v>#REF!</v>
      </c>
      <c r="J87" s="62" t="e">
        <f t="shared" ref="J87:J93" si="35">AVERAGE(B84:B86)</f>
        <v>#REF!</v>
      </c>
      <c r="K87" s="62" t="e">
        <f t="shared" ref="K87:K93" si="36">AVERAGE(C84:C86)</f>
        <v>#REF!</v>
      </c>
      <c r="M87" s="62" t="e">
        <f t="shared" si="28"/>
        <v>#REF!</v>
      </c>
      <c r="N87" s="62" t="e">
        <f t="shared" si="29"/>
        <v>#REF!</v>
      </c>
      <c r="P87" s="62" t="e">
        <f t="shared" si="7"/>
        <v>#REF!</v>
      </c>
      <c r="Q87" s="62" t="e">
        <f t="shared" si="5"/>
        <v>#REF!</v>
      </c>
      <c r="S87" s="62" t="e">
        <f t="shared" si="8"/>
        <v>#REF!</v>
      </c>
      <c r="T87" s="62" t="e">
        <f t="shared" si="6"/>
        <v>#REF!</v>
      </c>
    </row>
    <row r="88" spans="1:20" ht="12.45" customHeight="1">
      <c r="B88" s="62" t="e">
        <f>+#REF!</f>
        <v>#REF!</v>
      </c>
      <c r="C88" s="62" t="e">
        <f>+#REF!</f>
        <v>#REF!</v>
      </c>
      <c r="D88" s="62" t="e">
        <f t="shared" si="31"/>
        <v>#REF!</v>
      </c>
      <c r="F88" s="100" t="e">
        <f t="shared" si="32"/>
        <v>#REF!</v>
      </c>
      <c r="G88" s="100" t="e">
        <f t="shared" si="33"/>
        <v>#REF!</v>
      </c>
      <c r="H88" s="100" t="e">
        <f t="shared" si="34"/>
        <v>#REF!</v>
      </c>
      <c r="J88" s="62" t="e">
        <f t="shared" si="35"/>
        <v>#REF!</v>
      </c>
      <c r="K88" s="62" t="e">
        <f t="shared" si="36"/>
        <v>#REF!</v>
      </c>
      <c r="M88" s="62" t="e">
        <f t="shared" si="28"/>
        <v>#REF!</v>
      </c>
      <c r="N88" s="62" t="e">
        <f t="shared" si="29"/>
        <v>#REF!</v>
      </c>
      <c r="P88" s="62" t="e">
        <f t="shared" si="7"/>
        <v>#REF!</v>
      </c>
      <c r="Q88" s="62" t="e">
        <f t="shared" ref="Q88:Q97" si="37">AVERAGE(C82:C87)</f>
        <v>#REF!</v>
      </c>
      <c r="S88" s="62" t="e">
        <f t="shared" si="8"/>
        <v>#REF!</v>
      </c>
      <c r="T88" s="62" t="e">
        <f t="shared" ref="T88:T97" si="38">+C88-Q88</f>
        <v>#REF!</v>
      </c>
    </row>
    <row r="89" spans="1:20" ht="12.45" customHeight="1">
      <c r="B89" s="62" t="e">
        <f>+#REF!</f>
        <v>#REF!</v>
      </c>
      <c r="C89" s="62" t="e">
        <f>+#REF!</f>
        <v>#REF!</v>
      </c>
      <c r="D89" s="62" t="e">
        <f t="shared" si="31"/>
        <v>#REF!</v>
      </c>
      <c r="F89" s="100" t="e">
        <f t="shared" si="32"/>
        <v>#REF!</v>
      </c>
      <c r="G89" s="100" t="e">
        <f t="shared" si="33"/>
        <v>#REF!</v>
      </c>
      <c r="H89" s="100" t="e">
        <f t="shared" si="34"/>
        <v>#REF!</v>
      </c>
      <c r="J89" s="62" t="e">
        <f t="shared" si="35"/>
        <v>#REF!</v>
      </c>
      <c r="K89" s="62" t="e">
        <f t="shared" si="36"/>
        <v>#REF!</v>
      </c>
      <c r="M89" s="62" t="e">
        <f t="shared" si="28"/>
        <v>#REF!</v>
      </c>
      <c r="N89" s="62" t="e">
        <f t="shared" si="29"/>
        <v>#REF!</v>
      </c>
      <c r="P89" s="62" t="e">
        <f t="shared" ref="P89:P97" si="39">AVERAGE(B83:B88)</f>
        <v>#REF!</v>
      </c>
      <c r="Q89" s="62" t="e">
        <f t="shared" si="37"/>
        <v>#REF!</v>
      </c>
      <c r="S89" s="62" t="e">
        <f t="shared" ref="S89:S97" si="40">+B89-P89</f>
        <v>#REF!</v>
      </c>
      <c r="T89" s="62" t="e">
        <f t="shared" si="38"/>
        <v>#REF!</v>
      </c>
    </row>
    <row r="90" spans="1:20" ht="12.45" customHeight="1">
      <c r="A90" s="32" t="s">
        <v>182</v>
      </c>
      <c r="B90" s="62" t="e">
        <f>+#REF!</f>
        <v>#REF!</v>
      </c>
      <c r="C90" s="62" t="e">
        <f>+#REF!</f>
        <v>#REF!</v>
      </c>
      <c r="D90" s="62" t="e">
        <f t="shared" si="31"/>
        <v>#REF!</v>
      </c>
      <c r="F90" s="100" t="e">
        <f t="shared" si="32"/>
        <v>#REF!</v>
      </c>
      <c r="G90" s="100" t="e">
        <f t="shared" si="33"/>
        <v>#REF!</v>
      </c>
      <c r="H90" s="100" t="e">
        <f t="shared" si="34"/>
        <v>#REF!</v>
      </c>
      <c r="J90" s="62" t="e">
        <f t="shared" si="35"/>
        <v>#REF!</v>
      </c>
      <c r="K90" s="62" t="e">
        <f t="shared" si="36"/>
        <v>#REF!</v>
      </c>
      <c r="M90" s="62" t="e">
        <f t="shared" si="28"/>
        <v>#REF!</v>
      </c>
      <c r="N90" s="62" t="e">
        <f t="shared" si="29"/>
        <v>#REF!</v>
      </c>
      <c r="P90" s="62" t="e">
        <f t="shared" si="39"/>
        <v>#REF!</v>
      </c>
      <c r="Q90" s="62" t="e">
        <f t="shared" si="37"/>
        <v>#REF!</v>
      </c>
      <c r="S90" s="62" t="e">
        <f t="shared" si="40"/>
        <v>#REF!</v>
      </c>
      <c r="T90" s="62" t="e">
        <f t="shared" si="38"/>
        <v>#REF!</v>
      </c>
    </row>
    <row r="91" spans="1:20" ht="12.45" customHeight="1">
      <c r="B91" s="62" t="e">
        <f>+#REF!</f>
        <v>#REF!</v>
      </c>
      <c r="C91" s="62" t="e">
        <f>+#REF!</f>
        <v>#REF!</v>
      </c>
      <c r="D91" s="62" t="e">
        <f t="shared" si="31"/>
        <v>#REF!</v>
      </c>
      <c r="F91" s="100" t="e">
        <f t="shared" si="32"/>
        <v>#REF!</v>
      </c>
      <c r="G91" s="100" t="e">
        <f t="shared" si="33"/>
        <v>#REF!</v>
      </c>
      <c r="H91" s="100" t="e">
        <f t="shared" si="34"/>
        <v>#REF!</v>
      </c>
      <c r="J91" s="62" t="e">
        <f t="shared" si="35"/>
        <v>#REF!</v>
      </c>
      <c r="K91" s="62" t="e">
        <f t="shared" si="36"/>
        <v>#REF!</v>
      </c>
      <c r="M91" s="62" t="e">
        <f t="shared" si="28"/>
        <v>#REF!</v>
      </c>
      <c r="N91" s="62" t="e">
        <f t="shared" si="29"/>
        <v>#REF!</v>
      </c>
      <c r="P91" s="62" t="e">
        <f t="shared" si="39"/>
        <v>#REF!</v>
      </c>
      <c r="Q91" s="62" t="e">
        <f t="shared" si="37"/>
        <v>#REF!</v>
      </c>
      <c r="S91" s="62" t="e">
        <f t="shared" si="40"/>
        <v>#REF!</v>
      </c>
      <c r="T91" s="62" t="e">
        <f t="shared" si="38"/>
        <v>#REF!</v>
      </c>
    </row>
    <row r="92" spans="1:20" ht="12.45" customHeight="1">
      <c r="B92" s="62" t="e">
        <f>+#REF!</f>
        <v>#REF!</v>
      </c>
      <c r="C92" s="62" t="e">
        <f>+#REF!</f>
        <v>#REF!</v>
      </c>
      <c r="D92" s="62" t="e">
        <f t="shared" si="31"/>
        <v>#REF!</v>
      </c>
      <c r="F92" s="100" t="e">
        <f t="shared" si="32"/>
        <v>#REF!</v>
      </c>
      <c r="G92" s="100" t="e">
        <f t="shared" si="33"/>
        <v>#REF!</v>
      </c>
      <c r="H92" s="100" t="e">
        <f t="shared" si="34"/>
        <v>#REF!</v>
      </c>
      <c r="J92" s="62" t="e">
        <f t="shared" si="35"/>
        <v>#REF!</v>
      </c>
      <c r="K92" s="62" t="e">
        <f t="shared" si="36"/>
        <v>#REF!</v>
      </c>
      <c r="M92" s="62" t="e">
        <f t="shared" si="28"/>
        <v>#REF!</v>
      </c>
      <c r="N92" s="62" t="e">
        <f t="shared" si="29"/>
        <v>#REF!</v>
      </c>
      <c r="P92" s="62" t="e">
        <f t="shared" si="39"/>
        <v>#REF!</v>
      </c>
      <c r="Q92" s="62" t="e">
        <f t="shared" si="37"/>
        <v>#REF!</v>
      </c>
      <c r="S92" s="62" t="e">
        <f t="shared" si="40"/>
        <v>#REF!</v>
      </c>
      <c r="T92" s="62" t="e">
        <f t="shared" si="38"/>
        <v>#REF!</v>
      </c>
    </row>
    <row r="93" spans="1:20" ht="12.45" customHeight="1">
      <c r="A93" s="32"/>
      <c r="B93" s="62" t="e">
        <f>+#REF!</f>
        <v>#REF!</v>
      </c>
      <c r="C93" s="62" t="e">
        <f>+#REF!</f>
        <v>#REF!</v>
      </c>
      <c r="D93" s="62" t="e">
        <f t="shared" si="31"/>
        <v>#REF!</v>
      </c>
      <c r="F93" s="100" t="e">
        <f t="shared" si="32"/>
        <v>#REF!</v>
      </c>
      <c r="G93" s="100" t="e">
        <f t="shared" si="33"/>
        <v>#REF!</v>
      </c>
      <c r="H93" s="100" t="e">
        <f t="shared" si="34"/>
        <v>#REF!</v>
      </c>
      <c r="J93" s="62" t="e">
        <f t="shared" si="35"/>
        <v>#REF!</v>
      </c>
      <c r="K93" s="62" t="e">
        <f t="shared" si="36"/>
        <v>#REF!</v>
      </c>
      <c r="M93" s="62" t="e">
        <f t="shared" si="28"/>
        <v>#REF!</v>
      </c>
      <c r="N93" s="62" t="e">
        <f t="shared" si="29"/>
        <v>#REF!</v>
      </c>
      <c r="P93" s="62" t="e">
        <f t="shared" si="39"/>
        <v>#REF!</v>
      </c>
      <c r="Q93" s="62" t="e">
        <f t="shared" si="37"/>
        <v>#REF!</v>
      </c>
      <c r="S93" s="62" t="e">
        <f t="shared" si="40"/>
        <v>#REF!</v>
      </c>
      <c r="T93" s="62" t="e">
        <f t="shared" si="38"/>
        <v>#REF!</v>
      </c>
    </row>
    <row r="94" spans="1:20" ht="12.45" customHeight="1">
      <c r="B94" s="62" t="e">
        <f>+#REF!</f>
        <v>#REF!</v>
      </c>
      <c r="C94" s="62" t="e">
        <f>+#REF!</f>
        <v>#REF!</v>
      </c>
      <c r="D94" s="62" t="e">
        <f t="shared" si="31"/>
        <v>#REF!</v>
      </c>
      <c r="F94" s="100" t="e">
        <f t="shared" ref="F94:H95" si="41">((B94/B82)-1)*100</f>
        <v>#REF!</v>
      </c>
      <c r="G94" s="100" t="e">
        <f t="shared" si="41"/>
        <v>#REF!</v>
      </c>
      <c r="H94" s="100" t="e">
        <f t="shared" si="41"/>
        <v>#REF!</v>
      </c>
      <c r="J94" s="62" t="e">
        <f t="shared" ref="J94:K97" si="42">AVERAGE(B91:B93)</f>
        <v>#REF!</v>
      </c>
      <c r="K94" s="62" t="e">
        <f t="shared" si="42"/>
        <v>#REF!</v>
      </c>
      <c r="M94" s="62" t="e">
        <f t="shared" si="28"/>
        <v>#REF!</v>
      </c>
      <c r="N94" s="62" t="e">
        <f t="shared" si="29"/>
        <v>#REF!</v>
      </c>
      <c r="P94" s="62" t="e">
        <f t="shared" si="39"/>
        <v>#REF!</v>
      </c>
      <c r="Q94" s="62" t="e">
        <f t="shared" si="37"/>
        <v>#REF!</v>
      </c>
      <c r="S94" s="62" t="e">
        <f t="shared" si="40"/>
        <v>#REF!</v>
      </c>
      <c r="T94" s="62" t="e">
        <f t="shared" si="38"/>
        <v>#REF!</v>
      </c>
    </row>
    <row r="95" spans="1:20" ht="12.45" customHeight="1">
      <c r="A95" s="32"/>
      <c r="B95" s="62" t="e">
        <f>+#REF!</f>
        <v>#REF!</v>
      </c>
      <c r="C95" s="62" t="e">
        <f>+#REF!</f>
        <v>#REF!</v>
      </c>
      <c r="D95" s="62" t="e">
        <f t="shared" si="31"/>
        <v>#REF!</v>
      </c>
      <c r="F95" s="100" t="e">
        <f t="shared" si="41"/>
        <v>#REF!</v>
      </c>
      <c r="G95" s="100" t="e">
        <f t="shared" si="41"/>
        <v>#REF!</v>
      </c>
      <c r="H95" s="100" t="e">
        <f t="shared" si="41"/>
        <v>#REF!</v>
      </c>
      <c r="J95" s="62" t="e">
        <f t="shared" si="42"/>
        <v>#REF!</v>
      </c>
      <c r="K95" s="62" t="e">
        <f t="shared" si="42"/>
        <v>#REF!</v>
      </c>
      <c r="M95" s="62" t="e">
        <f t="shared" si="28"/>
        <v>#REF!</v>
      </c>
      <c r="N95" s="62" t="e">
        <f t="shared" si="29"/>
        <v>#REF!</v>
      </c>
      <c r="P95" s="62" t="e">
        <f t="shared" si="39"/>
        <v>#REF!</v>
      </c>
      <c r="Q95" s="62" t="e">
        <f t="shared" si="37"/>
        <v>#REF!</v>
      </c>
      <c r="S95" s="62" t="e">
        <f t="shared" si="40"/>
        <v>#REF!</v>
      </c>
      <c r="T95" s="62" t="e">
        <f t="shared" si="38"/>
        <v>#REF!</v>
      </c>
    </row>
    <row r="96" spans="1:20" ht="12.45" customHeight="1">
      <c r="A96" s="32" t="s">
        <v>17</v>
      </c>
      <c r="B96" s="62" t="e">
        <f>+#REF!</f>
        <v>#REF!</v>
      </c>
      <c r="C96" s="62" t="e">
        <f>+#REF!</f>
        <v>#REF!</v>
      </c>
      <c r="D96" s="62" t="e">
        <f t="shared" si="31"/>
        <v>#REF!</v>
      </c>
      <c r="F96" s="100" t="e">
        <f t="shared" ref="F96:H97" si="43">((B96/B84)-1)*100</f>
        <v>#REF!</v>
      </c>
      <c r="G96" s="100" t="e">
        <f t="shared" si="43"/>
        <v>#REF!</v>
      </c>
      <c r="H96" s="100" t="e">
        <f t="shared" si="43"/>
        <v>#REF!</v>
      </c>
      <c r="J96" s="62" t="e">
        <f t="shared" si="42"/>
        <v>#REF!</v>
      </c>
      <c r="K96" s="62" t="e">
        <f t="shared" si="42"/>
        <v>#REF!</v>
      </c>
      <c r="M96" s="62" t="e">
        <f t="shared" si="28"/>
        <v>#REF!</v>
      </c>
      <c r="N96" s="62" t="e">
        <f t="shared" si="29"/>
        <v>#REF!</v>
      </c>
      <c r="P96" s="62" t="e">
        <f t="shared" si="39"/>
        <v>#REF!</v>
      </c>
      <c r="Q96" s="62" t="e">
        <f t="shared" si="37"/>
        <v>#REF!</v>
      </c>
      <c r="S96" s="62" t="e">
        <f t="shared" si="40"/>
        <v>#REF!</v>
      </c>
      <c r="T96" s="62" t="e">
        <f t="shared" si="38"/>
        <v>#REF!</v>
      </c>
    </row>
    <row r="97" spans="1:20" ht="12.45" customHeight="1">
      <c r="A97" s="32"/>
      <c r="B97" s="62" t="e">
        <f>+#REF!</f>
        <v>#REF!</v>
      </c>
      <c r="C97" s="62" t="e">
        <f>+#REF!</f>
        <v>#REF!</v>
      </c>
      <c r="D97" s="62" t="e">
        <f t="shared" si="31"/>
        <v>#REF!</v>
      </c>
      <c r="F97" s="100" t="e">
        <f t="shared" si="43"/>
        <v>#REF!</v>
      </c>
      <c r="G97" s="100" t="e">
        <f t="shared" si="43"/>
        <v>#REF!</v>
      </c>
      <c r="H97" s="100" t="e">
        <f t="shared" si="43"/>
        <v>#REF!</v>
      </c>
      <c r="J97" s="62" t="e">
        <f t="shared" si="42"/>
        <v>#REF!</v>
      </c>
      <c r="K97" s="62" t="e">
        <f t="shared" si="42"/>
        <v>#REF!</v>
      </c>
      <c r="M97" s="62" t="e">
        <f t="shared" si="28"/>
        <v>#REF!</v>
      </c>
      <c r="N97" s="62" t="e">
        <f t="shared" si="29"/>
        <v>#REF!</v>
      </c>
      <c r="P97" s="62" t="e">
        <f t="shared" si="39"/>
        <v>#REF!</v>
      </c>
      <c r="Q97" s="62" t="e">
        <f t="shared" si="37"/>
        <v>#REF!</v>
      </c>
      <c r="S97" s="62" t="e">
        <f t="shared" si="40"/>
        <v>#REF!</v>
      </c>
      <c r="T97" s="62" t="e">
        <f t="shared" si="38"/>
        <v>#REF!</v>
      </c>
    </row>
    <row r="98" spans="1:20" ht="12.45" customHeight="1">
      <c r="A98" s="32"/>
      <c r="B98" s="62" t="e">
        <f>+#REF!</f>
        <v>#REF!</v>
      </c>
      <c r="C98" s="62" t="e">
        <f>+#REF!</f>
        <v>#REF!</v>
      </c>
      <c r="D98" s="62" t="e">
        <f>+B98-C98</f>
        <v>#REF!</v>
      </c>
      <c r="F98" s="100" t="e">
        <f>((B98/B86)-1)*100</f>
        <v>#REF!</v>
      </c>
      <c r="G98" s="100" t="e">
        <f>((C98/C86)-1)*100</f>
        <v>#REF!</v>
      </c>
      <c r="H98" s="100" t="e">
        <f>((D98/D86)-1)*100</f>
        <v>#REF!</v>
      </c>
      <c r="J98" s="62" t="e">
        <f t="shared" ref="J98:J105" si="44">AVERAGE(B95:B97)</f>
        <v>#REF!</v>
      </c>
      <c r="K98" s="62" t="e">
        <f t="shared" ref="K98:K105" si="45">AVERAGE(C95:C97)</f>
        <v>#REF!</v>
      </c>
      <c r="M98" s="62" t="e">
        <f t="shared" ref="M98:M105" si="46">+B98-J98</f>
        <v>#REF!</v>
      </c>
      <c r="N98" s="62" t="e">
        <f t="shared" ref="N98:N105" si="47">+C98-K98</f>
        <v>#REF!</v>
      </c>
      <c r="P98" s="62" t="e">
        <f t="shared" ref="P98:P105" si="48">AVERAGE(B92:B97)</f>
        <v>#REF!</v>
      </c>
      <c r="Q98" s="62" t="e">
        <f t="shared" ref="Q98:Q105" si="49">AVERAGE(C92:C97)</f>
        <v>#REF!</v>
      </c>
      <c r="S98" s="62" t="e">
        <f t="shared" ref="S98:S105" si="50">+B98-P98</f>
        <v>#REF!</v>
      </c>
      <c r="T98" s="62" t="e">
        <f t="shared" ref="T98:T105" si="51">+C98-Q98</f>
        <v>#REF!</v>
      </c>
    </row>
    <row r="99" spans="1:20" ht="12.45" customHeight="1">
      <c r="B99" s="62" t="e">
        <f>+#REF!</f>
        <v>#REF!</v>
      </c>
      <c r="C99" s="62" t="e">
        <f>+#REF!</f>
        <v>#REF!</v>
      </c>
      <c r="D99" s="62" t="e">
        <f t="shared" ref="D99:D106" si="52">+B99-C99</f>
        <v>#REF!</v>
      </c>
      <c r="F99" s="100" t="e">
        <f t="shared" ref="F99:F105" si="53">((B99/B87)-1)*100</f>
        <v>#REF!</v>
      </c>
      <c r="G99" s="100" t="e">
        <f t="shared" ref="G99:G105" si="54">((C99/C87)-1)*100</f>
        <v>#REF!</v>
      </c>
      <c r="H99" s="100" t="e">
        <f t="shared" ref="H99:H105" si="55">((D99/D87)-1)*100</f>
        <v>#REF!</v>
      </c>
      <c r="J99" s="62" t="e">
        <f t="shared" si="44"/>
        <v>#REF!</v>
      </c>
      <c r="K99" s="62" t="e">
        <f t="shared" si="45"/>
        <v>#REF!</v>
      </c>
      <c r="M99" s="62" t="e">
        <f t="shared" si="46"/>
        <v>#REF!</v>
      </c>
      <c r="N99" s="62" t="e">
        <f t="shared" si="47"/>
        <v>#REF!</v>
      </c>
      <c r="P99" s="62" t="e">
        <f t="shared" si="48"/>
        <v>#REF!</v>
      </c>
      <c r="Q99" s="62" t="e">
        <f t="shared" si="49"/>
        <v>#REF!</v>
      </c>
      <c r="S99" s="62" t="e">
        <f t="shared" si="50"/>
        <v>#REF!</v>
      </c>
      <c r="T99" s="62" t="e">
        <f t="shared" si="51"/>
        <v>#REF!</v>
      </c>
    </row>
    <row r="100" spans="1:20" ht="12.45" customHeight="1">
      <c r="B100" s="62" t="e">
        <f>+#REF!</f>
        <v>#REF!</v>
      </c>
      <c r="C100" s="62" t="e">
        <f>+#REF!</f>
        <v>#REF!</v>
      </c>
      <c r="D100" s="62" t="e">
        <f t="shared" si="52"/>
        <v>#REF!</v>
      </c>
      <c r="F100" s="100" t="e">
        <f t="shared" si="53"/>
        <v>#REF!</v>
      </c>
      <c r="G100" s="100" t="e">
        <f t="shared" si="54"/>
        <v>#REF!</v>
      </c>
      <c r="H100" s="100" t="e">
        <f t="shared" si="55"/>
        <v>#REF!</v>
      </c>
      <c r="J100" s="62" t="e">
        <f t="shared" si="44"/>
        <v>#REF!</v>
      </c>
      <c r="K100" s="62" t="e">
        <f t="shared" si="45"/>
        <v>#REF!</v>
      </c>
      <c r="M100" s="62" t="e">
        <f t="shared" si="46"/>
        <v>#REF!</v>
      </c>
      <c r="N100" s="62" t="e">
        <f t="shared" si="47"/>
        <v>#REF!</v>
      </c>
      <c r="P100" s="62" t="e">
        <f t="shared" si="48"/>
        <v>#REF!</v>
      </c>
      <c r="Q100" s="62" t="e">
        <f t="shared" si="49"/>
        <v>#REF!</v>
      </c>
      <c r="S100" s="62" t="e">
        <f t="shared" si="50"/>
        <v>#REF!</v>
      </c>
      <c r="T100" s="62" t="e">
        <f t="shared" si="51"/>
        <v>#REF!</v>
      </c>
    </row>
    <row r="101" spans="1:20" ht="12.45" customHeight="1">
      <c r="B101" s="62" t="e">
        <f>+#REF!</f>
        <v>#REF!</v>
      </c>
      <c r="C101" s="62" t="e">
        <f>+#REF!</f>
        <v>#REF!</v>
      </c>
      <c r="D101" s="62" t="e">
        <f t="shared" si="52"/>
        <v>#REF!</v>
      </c>
      <c r="F101" s="100" t="e">
        <f t="shared" si="53"/>
        <v>#REF!</v>
      </c>
      <c r="G101" s="100" t="e">
        <f t="shared" si="54"/>
        <v>#REF!</v>
      </c>
      <c r="H101" s="100" t="e">
        <f t="shared" si="55"/>
        <v>#REF!</v>
      </c>
      <c r="J101" s="62" t="e">
        <f t="shared" si="44"/>
        <v>#REF!</v>
      </c>
      <c r="K101" s="62" t="e">
        <f t="shared" si="45"/>
        <v>#REF!</v>
      </c>
      <c r="M101" s="62" t="e">
        <f t="shared" si="46"/>
        <v>#REF!</v>
      </c>
      <c r="N101" s="62" t="e">
        <f t="shared" si="47"/>
        <v>#REF!</v>
      </c>
      <c r="P101" s="62" t="e">
        <f t="shared" si="48"/>
        <v>#REF!</v>
      </c>
      <c r="Q101" s="62" t="e">
        <f t="shared" si="49"/>
        <v>#REF!</v>
      </c>
      <c r="S101" s="62" t="e">
        <f t="shared" si="50"/>
        <v>#REF!</v>
      </c>
      <c r="T101" s="62" t="e">
        <f t="shared" si="51"/>
        <v>#REF!</v>
      </c>
    </row>
    <row r="102" spans="1:20" ht="12.45" customHeight="1">
      <c r="A102" s="32" t="s">
        <v>183</v>
      </c>
      <c r="B102" s="62" t="e">
        <f>+#REF!</f>
        <v>#REF!</v>
      </c>
      <c r="C102" s="62" t="e">
        <f>+#REF!</f>
        <v>#REF!</v>
      </c>
      <c r="D102" s="62" t="e">
        <f t="shared" si="52"/>
        <v>#REF!</v>
      </c>
      <c r="F102" s="100" t="e">
        <f t="shared" si="53"/>
        <v>#REF!</v>
      </c>
      <c r="G102" s="100" t="e">
        <f t="shared" si="54"/>
        <v>#REF!</v>
      </c>
      <c r="H102" s="100" t="e">
        <f t="shared" si="55"/>
        <v>#REF!</v>
      </c>
      <c r="J102" s="62" t="e">
        <f t="shared" si="44"/>
        <v>#REF!</v>
      </c>
      <c r="K102" s="62" t="e">
        <f t="shared" si="45"/>
        <v>#REF!</v>
      </c>
      <c r="M102" s="62" t="e">
        <f t="shared" si="46"/>
        <v>#REF!</v>
      </c>
      <c r="N102" s="62" t="e">
        <f t="shared" si="47"/>
        <v>#REF!</v>
      </c>
      <c r="P102" s="62" t="e">
        <f t="shared" si="48"/>
        <v>#REF!</v>
      </c>
      <c r="Q102" s="62" t="e">
        <f t="shared" si="49"/>
        <v>#REF!</v>
      </c>
      <c r="S102" s="62" t="e">
        <f t="shared" si="50"/>
        <v>#REF!</v>
      </c>
      <c r="T102" s="62" t="e">
        <f t="shared" si="51"/>
        <v>#REF!</v>
      </c>
    </row>
    <row r="103" spans="1:20" ht="12.45" customHeight="1">
      <c r="B103" s="62" t="e">
        <f>+#REF!</f>
        <v>#REF!</v>
      </c>
      <c r="C103" s="62" t="e">
        <f>+#REF!</f>
        <v>#REF!</v>
      </c>
      <c r="D103" s="62" t="e">
        <f t="shared" si="52"/>
        <v>#REF!</v>
      </c>
      <c r="F103" s="100" t="e">
        <f t="shared" si="53"/>
        <v>#REF!</v>
      </c>
      <c r="G103" s="100" t="e">
        <f t="shared" si="54"/>
        <v>#REF!</v>
      </c>
      <c r="H103" s="100" t="e">
        <f t="shared" si="55"/>
        <v>#REF!</v>
      </c>
      <c r="J103" s="62" t="e">
        <f t="shared" si="44"/>
        <v>#REF!</v>
      </c>
      <c r="K103" s="62" t="e">
        <f t="shared" si="45"/>
        <v>#REF!</v>
      </c>
      <c r="M103" s="62" t="e">
        <f t="shared" si="46"/>
        <v>#REF!</v>
      </c>
      <c r="N103" s="62" t="e">
        <f t="shared" si="47"/>
        <v>#REF!</v>
      </c>
      <c r="P103" s="62" t="e">
        <f t="shared" si="48"/>
        <v>#REF!</v>
      </c>
      <c r="Q103" s="62" t="e">
        <f t="shared" si="49"/>
        <v>#REF!</v>
      </c>
      <c r="S103" s="62" t="e">
        <f t="shared" si="50"/>
        <v>#REF!</v>
      </c>
      <c r="T103" s="62" t="e">
        <f t="shared" si="51"/>
        <v>#REF!</v>
      </c>
    </row>
    <row r="104" spans="1:20" ht="12.45" customHeight="1">
      <c r="B104" s="62" t="e">
        <f>+#REF!</f>
        <v>#REF!</v>
      </c>
      <c r="C104" s="62" t="e">
        <f>+#REF!</f>
        <v>#REF!</v>
      </c>
      <c r="D104" s="62" t="e">
        <f t="shared" si="52"/>
        <v>#REF!</v>
      </c>
      <c r="F104" s="100" t="e">
        <f t="shared" si="53"/>
        <v>#REF!</v>
      </c>
      <c r="G104" s="100" t="e">
        <f t="shared" si="54"/>
        <v>#REF!</v>
      </c>
      <c r="H104" s="100" t="e">
        <f t="shared" si="55"/>
        <v>#REF!</v>
      </c>
      <c r="J104" s="62" t="e">
        <f t="shared" si="44"/>
        <v>#REF!</v>
      </c>
      <c r="K104" s="62" t="e">
        <f t="shared" si="45"/>
        <v>#REF!</v>
      </c>
      <c r="M104" s="62" t="e">
        <f t="shared" si="46"/>
        <v>#REF!</v>
      </c>
      <c r="N104" s="62" t="e">
        <f t="shared" si="47"/>
        <v>#REF!</v>
      </c>
      <c r="P104" s="62" t="e">
        <f t="shared" si="48"/>
        <v>#REF!</v>
      </c>
      <c r="Q104" s="62" t="e">
        <f t="shared" si="49"/>
        <v>#REF!</v>
      </c>
      <c r="S104" s="62" t="e">
        <f t="shared" si="50"/>
        <v>#REF!</v>
      </c>
      <c r="T104" s="62" t="e">
        <f t="shared" si="51"/>
        <v>#REF!</v>
      </c>
    </row>
    <row r="105" spans="1:20" ht="12.45" customHeight="1">
      <c r="A105" s="32"/>
      <c r="B105" s="62" t="e">
        <f>+#REF!</f>
        <v>#REF!</v>
      </c>
      <c r="C105" s="62" t="e">
        <f>+#REF!</f>
        <v>#REF!</v>
      </c>
      <c r="D105" s="62" t="e">
        <f t="shared" si="52"/>
        <v>#REF!</v>
      </c>
      <c r="F105" s="100" t="e">
        <f t="shared" si="53"/>
        <v>#REF!</v>
      </c>
      <c r="G105" s="100" t="e">
        <f t="shared" si="54"/>
        <v>#REF!</v>
      </c>
      <c r="H105" s="100" t="e">
        <f t="shared" si="55"/>
        <v>#REF!</v>
      </c>
      <c r="J105" s="62" t="e">
        <f t="shared" si="44"/>
        <v>#REF!</v>
      </c>
      <c r="K105" s="62" t="e">
        <f t="shared" si="45"/>
        <v>#REF!</v>
      </c>
      <c r="M105" s="62" t="e">
        <f t="shared" si="46"/>
        <v>#REF!</v>
      </c>
      <c r="N105" s="62" t="e">
        <f t="shared" si="47"/>
        <v>#REF!</v>
      </c>
      <c r="P105" s="62" t="e">
        <f t="shared" si="48"/>
        <v>#REF!</v>
      </c>
      <c r="Q105" s="62" t="e">
        <f t="shared" si="49"/>
        <v>#REF!</v>
      </c>
      <c r="S105" s="62" t="e">
        <f t="shared" si="50"/>
        <v>#REF!</v>
      </c>
      <c r="T105" s="62" t="e">
        <f t="shared" si="51"/>
        <v>#REF!</v>
      </c>
    </row>
    <row r="106" spans="1:20" ht="12.45" customHeight="1">
      <c r="A106" s="32"/>
      <c r="B106" s="62" t="e">
        <f>+#REF!</f>
        <v>#REF!</v>
      </c>
      <c r="C106" s="62" t="e">
        <f>+#REF!</f>
        <v>#REF!</v>
      </c>
      <c r="D106" s="62" t="e">
        <f t="shared" si="52"/>
        <v>#REF!</v>
      </c>
      <c r="F106" s="100" t="e">
        <f t="shared" ref="F106:H108" si="56">((B106/B94)-1)*100</f>
        <v>#REF!</v>
      </c>
      <c r="G106" s="100" t="e">
        <f t="shared" si="56"/>
        <v>#REF!</v>
      </c>
      <c r="H106" s="100" t="e">
        <f t="shared" si="56"/>
        <v>#REF!</v>
      </c>
      <c r="J106" s="62" t="e">
        <f t="shared" ref="J106:K108" si="57">AVERAGE(B103:B105)</f>
        <v>#REF!</v>
      </c>
      <c r="K106" s="62" t="e">
        <f t="shared" si="57"/>
        <v>#REF!</v>
      </c>
      <c r="M106" s="62" t="e">
        <f t="shared" ref="M106:N108" si="58">+B106-J106</f>
        <v>#REF!</v>
      </c>
      <c r="N106" s="62" t="e">
        <f t="shared" si="58"/>
        <v>#REF!</v>
      </c>
      <c r="P106" s="62" t="e">
        <f t="shared" ref="P106:Q108" si="59">AVERAGE(B100:B105)</f>
        <v>#REF!</v>
      </c>
      <c r="Q106" s="62" t="e">
        <f t="shared" si="59"/>
        <v>#REF!</v>
      </c>
      <c r="S106" s="62" t="e">
        <f t="shared" ref="S106:T108" si="60">+B106-P106</f>
        <v>#REF!</v>
      </c>
      <c r="T106" s="62" t="e">
        <f t="shared" si="60"/>
        <v>#REF!</v>
      </c>
    </row>
    <row r="107" spans="1:20" ht="12.45" customHeight="1">
      <c r="B107" s="62" t="e">
        <f>+#REF!</f>
        <v>#REF!</v>
      </c>
      <c r="C107" s="62" t="e">
        <f>+#REF!</f>
        <v>#REF!</v>
      </c>
      <c r="D107" s="62" t="e">
        <f t="shared" ref="D107:D117" si="61">+B107-C107</f>
        <v>#REF!</v>
      </c>
      <c r="F107" s="100" t="e">
        <f t="shared" si="56"/>
        <v>#REF!</v>
      </c>
      <c r="G107" s="100" t="e">
        <f t="shared" si="56"/>
        <v>#REF!</v>
      </c>
      <c r="H107" s="100" t="e">
        <f t="shared" si="56"/>
        <v>#REF!</v>
      </c>
      <c r="J107" s="62" t="e">
        <f t="shared" si="57"/>
        <v>#REF!</v>
      </c>
      <c r="K107" s="62" t="e">
        <f t="shared" si="57"/>
        <v>#REF!</v>
      </c>
      <c r="M107" s="62" t="e">
        <f t="shared" si="58"/>
        <v>#REF!</v>
      </c>
      <c r="N107" s="62" t="e">
        <f t="shared" si="58"/>
        <v>#REF!</v>
      </c>
      <c r="P107" s="62" t="e">
        <f t="shared" si="59"/>
        <v>#REF!</v>
      </c>
      <c r="Q107" s="62" t="e">
        <f t="shared" si="59"/>
        <v>#REF!</v>
      </c>
      <c r="S107" s="62" t="e">
        <f t="shared" si="60"/>
        <v>#REF!</v>
      </c>
      <c r="T107" s="62" t="e">
        <f t="shared" si="60"/>
        <v>#REF!</v>
      </c>
    </row>
    <row r="108" spans="1:20" ht="12.45" customHeight="1">
      <c r="A108" s="32" t="s">
        <v>17</v>
      </c>
      <c r="B108" s="62" t="e">
        <f>+#REF!</f>
        <v>#REF!</v>
      </c>
      <c r="C108" s="62" t="e">
        <f>+#REF!</f>
        <v>#REF!</v>
      </c>
      <c r="D108" s="62" t="e">
        <f t="shared" si="61"/>
        <v>#REF!</v>
      </c>
      <c r="F108" s="100" t="e">
        <f t="shared" si="56"/>
        <v>#REF!</v>
      </c>
      <c r="G108" s="100" t="e">
        <f t="shared" si="56"/>
        <v>#REF!</v>
      </c>
      <c r="H108" s="100" t="e">
        <f t="shared" si="56"/>
        <v>#REF!</v>
      </c>
      <c r="J108" s="62" t="e">
        <f t="shared" si="57"/>
        <v>#REF!</v>
      </c>
      <c r="K108" s="62" t="e">
        <f t="shared" si="57"/>
        <v>#REF!</v>
      </c>
      <c r="M108" s="62" t="e">
        <f t="shared" si="58"/>
        <v>#REF!</v>
      </c>
      <c r="N108" s="62" t="e">
        <f t="shared" si="58"/>
        <v>#REF!</v>
      </c>
      <c r="P108" s="62" t="e">
        <f t="shared" si="59"/>
        <v>#REF!</v>
      </c>
      <c r="Q108" s="62" t="e">
        <f t="shared" si="59"/>
        <v>#REF!</v>
      </c>
      <c r="S108" s="62" t="e">
        <f t="shared" si="60"/>
        <v>#REF!</v>
      </c>
      <c r="T108" s="62" t="e">
        <f t="shared" si="60"/>
        <v>#REF!</v>
      </c>
    </row>
    <row r="109" spans="1:20" ht="12.45" customHeight="1">
      <c r="B109" s="62" t="e">
        <f>+#REF!</f>
        <v>#REF!</v>
      </c>
      <c r="C109" s="62" t="e">
        <f>+#REF!</f>
        <v>#REF!</v>
      </c>
      <c r="D109" s="62" t="e">
        <f t="shared" si="61"/>
        <v>#REF!</v>
      </c>
      <c r="F109" s="100" t="e">
        <f t="shared" ref="F109:H111" si="62">((B109/B97)-1)*100</f>
        <v>#REF!</v>
      </c>
      <c r="G109" s="100" t="e">
        <f t="shared" si="62"/>
        <v>#REF!</v>
      </c>
      <c r="H109" s="100" t="e">
        <f t="shared" si="62"/>
        <v>#REF!</v>
      </c>
      <c r="J109" s="62" t="e">
        <f t="shared" ref="J109:K111" si="63">AVERAGE(B106:B108)</f>
        <v>#REF!</v>
      </c>
      <c r="K109" s="62" t="e">
        <f t="shared" si="63"/>
        <v>#REF!</v>
      </c>
      <c r="M109" s="62" t="e">
        <f t="shared" ref="M109:N111" si="64">+B109-J109</f>
        <v>#REF!</v>
      </c>
      <c r="N109" s="62" t="e">
        <f t="shared" si="64"/>
        <v>#REF!</v>
      </c>
      <c r="P109" s="62" t="e">
        <f t="shared" ref="P109:Q111" si="65">AVERAGE(B103:B108)</f>
        <v>#REF!</v>
      </c>
      <c r="Q109" s="62" t="e">
        <f t="shared" si="65"/>
        <v>#REF!</v>
      </c>
      <c r="S109" s="62" t="e">
        <f t="shared" ref="S109:T111" si="66">+B109-P109</f>
        <v>#REF!</v>
      </c>
      <c r="T109" s="62" t="e">
        <f t="shared" si="66"/>
        <v>#REF!</v>
      </c>
    </row>
    <row r="110" spans="1:20" ht="12.45" customHeight="1">
      <c r="B110" s="62" t="e">
        <f>+#REF!</f>
        <v>#REF!</v>
      </c>
      <c r="C110" s="62" t="e">
        <f>+#REF!</f>
        <v>#REF!</v>
      </c>
      <c r="D110" s="62" t="e">
        <f t="shared" si="61"/>
        <v>#REF!</v>
      </c>
      <c r="F110" s="100" t="e">
        <f t="shared" si="62"/>
        <v>#REF!</v>
      </c>
      <c r="G110" s="100" t="e">
        <f t="shared" si="62"/>
        <v>#REF!</v>
      </c>
      <c r="H110" s="100" t="e">
        <f t="shared" si="62"/>
        <v>#REF!</v>
      </c>
      <c r="J110" s="62" t="e">
        <f t="shared" si="63"/>
        <v>#REF!</v>
      </c>
      <c r="K110" s="62" t="e">
        <f t="shared" si="63"/>
        <v>#REF!</v>
      </c>
      <c r="M110" s="62" t="e">
        <f t="shared" si="64"/>
        <v>#REF!</v>
      </c>
      <c r="N110" s="62" t="e">
        <f t="shared" si="64"/>
        <v>#REF!</v>
      </c>
      <c r="P110" s="62" t="e">
        <f t="shared" si="65"/>
        <v>#REF!</v>
      </c>
      <c r="Q110" s="62" t="e">
        <f t="shared" si="65"/>
        <v>#REF!</v>
      </c>
      <c r="S110" s="62" t="e">
        <f t="shared" si="66"/>
        <v>#REF!</v>
      </c>
      <c r="T110" s="62" t="e">
        <f t="shared" si="66"/>
        <v>#REF!</v>
      </c>
    </row>
    <row r="111" spans="1:20" ht="12.45" customHeight="1">
      <c r="B111" s="62" t="e">
        <f>+#REF!</f>
        <v>#REF!</v>
      </c>
      <c r="C111" s="62" t="e">
        <f>+#REF!</f>
        <v>#REF!</v>
      </c>
      <c r="D111" s="62" t="e">
        <f t="shared" si="61"/>
        <v>#REF!</v>
      </c>
      <c r="F111" s="100" t="e">
        <f t="shared" si="62"/>
        <v>#REF!</v>
      </c>
      <c r="G111" s="100" t="e">
        <f t="shared" si="62"/>
        <v>#REF!</v>
      </c>
      <c r="H111" s="100" t="e">
        <f t="shared" si="62"/>
        <v>#REF!</v>
      </c>
      <c r="J111" s="62" t="e">
        <f t="shared" si="63"/>
        <v>#REF!</v>
      </c>
      <c r="K111" s="62" t="e">
        <f t="shared" si="63"/>
        <v>#REF!</v>
      </c>
      <c r="M111" s="62" t="e">
        <f t="shared" si="64"/>
        <v>#REF!</v>
      </c>
      <c r="N111" s="62" t="e">
        <f t="shared" si="64"/>
        <v>#REF!</v>
      </c>
      <c r="P111" s="62" t="e">
        <f t="shared" si="65"/>
        <v>#REF!</v>
      </c>
      <c r="Q111" s="62" t="e">
        <f t="shared" si="65"/>
        <v>#REF!</v>
      </c>
      <c r="S111" s="62" t="e">
        <f t="shared" si="66"/>
        <v>#REF!</v>
      </c>
      <c r="T111" s="62" t="e">
        <f t="shared" si="66"/>
        <v>#REF!</v>
      </c>
    </row>
    <row r="112" spans="1:20" ht="12.45" customHeight="1">
      <c r="B112" s="62" t="e">
        <f>+#REF!</f>
        <v>#REF!</v>
      </c>
      <c r="C112" s="62" t="e">
        <f>+#REF!</f>
        <v>#REF!</v>
      </c>
      <c r="D112" s="62" t="e">
        <f t="shared" si="61"/>
        <v>#REF!</v>
      </c>
      <c r="F112" s="100" t="e">
        <f t="shared" ref="F112:H113" si="67">((B112/B100)-1)*100</f>
        <v>#REF!</v>
      </c>
      <c r="G112" s="100" t="e">
        <f t="shared" si="67"/>
        <v>#REF!</v>
      </c>
      <c r="H112" s="100" t="e">
        <f t="shared" si="67"/>
        <v>#REF!</v>
      </c>
      <c r="J112" s="62" t="e">
        <f>AVERAGE(B109:B111)</f>
        <v>#REF!</v>
      </c>
      <c r="K112" s="62" t="e">
        <f>AVERAGE(C109:C111)</f>
        <v>#REF!</v>
      </c>
      <c r="M112" s="62" t="e">
        <f>+B112-J112</f>
        <v>#REF!</v>
      </c>
      <c r="N112" s="62" t="e">
        <f>+C112-K112</f>
        <v>#REF!</v>
      </c>
      <c r="P112" s="62" t="e">
        <f>AVERAGE(B106:B111)</f>
        <v>#REF!</v>
      </c>
      <c r="Q112" s="62" t="e">
        <f>AVERAGE(C106:C111)</f>
        <v>#REF!</v>
      </c>
      <c r="S112" s="62" t="e">
        <f>+B112-P112</f>
        <v>#REF!</v>
      </c>
      <c r="T112" s="62" t="e">
        <f>+C112-Q112</f>
        <v>#REF!</v>
      </c>
    </row>
    <row r="113" spans="1:20" ht="12.45" customHeight="1">
      <c r="B113" s="62" t="e">
        <f>+#REF!</f>
        <v>#REF!</v>
      </c>
      <c r="C113" s="62" t="e">
        <f>+#REF!</f>
        <v>#REF!</v>
      </c>
      <c r="D113" s="62" t="e">
        <f t="shared" si="61"/>
        <v>#REF!</v>
      </c>
      <c r="F113" s="100" t="e">
        <f t="shared" si="67"/>
        <v>#REF!</v>
      </c>
      <c r="G113" s="100" t="e">
        <f t="shared" si="67"/>
        <v>#REF!</v>
      </c>
      <c r="H113" s="100" t="e">
        <f t="shared" si="67"/>
        <v>#REF!</v>
      </c>
      <c r="J113" s="62" t="e">
        <f>AVERAGE(B110:B112)</f>
        <v>#REF!</v>
      </c>
      <c r="K113" s="62" t="e">
        <f>AVERAGE(C110:C112)</f>
        <v>#REF!</v>
      </c>
      <c r="M113" s="62" t="e">
        <f>+B113-J113</f>
        <v>#REF!</v>
      </c>
      <c r="N113" s="62" t="e">
        <f>+C113-K113</f>
        <v>#REF!</v>
      </c>
      <c r="P113" s="62" t="e">
        <f>AVERAGE(B107:B112)</f>
        <v>#REF!</v>
      </c>
      <c r="Q113" s="62" t="e">
        <f>AVERAGE(C107:C112)</f>
        <v>#REF!</v>
      </c>
      <c r="S113" s="62" t="e">
        <f>+B113-P113</f>
        <v>#REF!</v>
      </c>
      <c r="T113" s="62" t="e">
        <f>+C113-Q113</f>
        <v>#REF!</v>
      </c>
    </row>
    <row r="114" spans="1:20" ht="12.45" customHeight="1">
      <c r="A114" s="32" t="s">
        <v>184</v>
      </c>
      <c r="B114" s="62" t="e">
        <f>+#REF!</f>
        <v>#REF!</v>
      </c>
      <c r="C114" s="62" t="e">
        <f>+#REF!</f>
        <v>#REF!</v>
      </c>
      <c r="D114" s="62" t="e">
        <f t="shared" si="61"/>
        <v>#REF!</v>
      </c>
      <c r="F114" s="100" t="e">
        <f t="shared" ref="F114:F120" si="68">((B114/B102)-1)*100</f>
        <v>#REF!</v>
      </c>
      <c r="G114" s="100" t="e">
        <f t="shared" ref="G114:G120" si="69">((C114/C102)-1)*100</f>
        <v>#REF!</v>
      </c>
      <c r="H114" s="100" t="e">
        <f t="shared" ref="H114:H120" si="70">((D114/D102)-1)*100</f>
        <v>#REF!</v>
      </c>
      <c r="J114" s="62" t="e">
        <f t="shared" ref="J114:J120" si="71">AVERAGE(B111:B113)</f>
        <v>#REF!</v>
      </c>
      <c r="K114" s="62" t="e">
        <f t="shared" ref="K114:K120" si="72">AVERAGE(C111:C113)</f>
        <v>#REF!</v>
      </c>
      <c r="M114" s="62" t="e">
        <f t="shared" ref="M114:M120" si="73">+B114-J114</f>
        <v>#REF!</v>
      </c>
      <c r="N114" s="62" t="e">
        <f t="shared" ref="N114:N120" si="74">+C114-K114</f>
        <v>#REF!</v>
      </c>
      <c r="P114" s="62" t="e">
        <f t="shared" ref="P114:P120" si="75">AVERAGE(B108:B113)</f>
        <v>#REF!</v>
      </c>
      <c r="Q114" s="62" t="e">
        <f t="shared" ref="Q114:Q120" si="76">AVERAGE(C108:C113)</f>
        <v>#REF!</v>
      </c>
      <c r="S114" s="62" t="e">
        <f t="shared" ref="S114:S120" si="77">+B114-P114</f>
        <v>#REF!</v>
      </c>
      <c r="T114" s="62" t="e">
        <f t="shared" ref="T114:T120" si="78">+C114-Q114</f>
        <v>#REF!</v>
      </c>
    </row>
    <row r="115" spans="1:20" ht="12.45" customHeight="1">
      <c r="A115" s="32"/>
      <c r="B115" s="62" t="e">
        <f>+#REF!</f>
        <v>#REF!</v>
      </c>
      <c r="C115" s="62" t="e">
        <f>+#REF!</f>
        <v>#REF!</v>
      </c>
      <c r="D115" s="62" t="e">
        <f t="shared" si="61"/>
        <v>#REF!</v>
      </c>
      <c r="F115" s="100" t="e">
        <f t="shared" si="68"/>
        <v>#REF!</v>
      </c>
      <c r="G115" s="100" t="e">
        <f t="shared" si="69"/>
        <v>#REF!</v>
      </c>
      <c r="H115" s="100" t="e">
        <f t="shared" si="70"/>
        <v>#REF!</v>
      </c>
      <c r="J115" s="62" t="e">
        <f t="shared" si="71"/>
        <v>#REF!</v>
      </c>
      <c r="K115" s="62" t="e">
        <f t="shared" si="72"/>
        <v>#REF!</v>
      </c>
      <c r="M115" s="62" t="e">
        <f t="shared" si="73"/>
        <v>#REF!</v>
      </c>
      <c r="N115" s="62" t="e">
        <f t="shared" si="74"/>
        <v>#REF!</v>
      </c>
      <c r="P115" s="62" t="e">
        <f t="shared" si="75"/>
        <v>#REF!</v>
      </c>
      <c r="Q115" s="62" t="e">
        <f t="shared" si="76"/>
        <v>#REF!</v>
      </c>
      <c r="S115" s="62" t="e">
        <f t="shared" si="77"/>
        <v>#REF!</v>
      </c>
      <c r="T115" s="62" t="e">
        <f t="shared" si="78"/>
        <v>#REF!</v>
      </c>
    </row>
    <row r="116" spans="1:20" ht="12.45" customHeight="1">
      <c r="A116" s="32"/>
      <c r="B116" s="62" t="e">
        <f>+#REF!</f>
        <v>#REF!</v>
      </c>
      <c r="C116" s="62" t="e">
        <f>+#REF!</f>
        <v>#REF!</v>
      </c>
      <c r="D116" s="62" t="e">
        <f t="shared" si="61"/>
        <v>#REF!</v>
      </c>
      <c r="F116" s="100" t="e">
        <f t="shared" si="68"/>
        <v>#REF!</v>
      </c>
      <c r="G116" s="100" t="e">
        <f t="shared" si="69"/>
        <v>#REF!</v>
      </c>
      <c r="H116" s="100" t="e">
        <f t="shared" si="70"/>
        <v>#REF!</v>
      </c>
      <c r="J116" s="62" t="e">
        <f t="shared" si="71"/>
        <v>#REF!</v>
      </c>
      <c r="K116" s="62" t="e">
        <f t="shared" si="72"/>
        <v>#REF!</v>
      </c>
      <c r="M116" s="62" t="e">
        <f t="shared" si="73"/>
        <v>#REF!</v>
      </c>
      <c r="N116" s="62" t="e">
        <f t="shared" si="74"/>
        <v>#REF!</v>
      </c>
      <c r="P116" s="62" t="e">
        <f t="shared" si="75"/>
        <v>#REF!</v>
      </c>
      <c r="Q116" s="62" t="e">
        <f t="shared" si="76"/>
        <v>#REF!</v>
      </c>
      <c r="S116" s="62" t="e">
        <f t="shared" si="77"/>
        <v>#REF!</v>
      </c>
      <c r="T116" s="62" t="e">
        <f t="shared" si="78"/>
        <v>#REF!</v>
      </c>
    </row>
    <row r="117" spans="1:20" ht="12.45" customHeight="1">
      <c r="A117" s="32"/>
      <c r="B117" s="62" t="e">
        <f>+#REF!</f>
        <v>#REF!</v>
      </c>
      <c r="C117" s="62" t="e">
        <f>+#REF!</f>
        <v>#REF!</v>
      </c>
      <c r="D117" s="62" t="e">
        <f t="shared" si="61"/>
        <v>#REF!</v>
      </c>
      <c r="F117" s="100" t="e">
        <f t="shared" si="68"/>
        <v>#REF!</v>
      </c>
      <c r="G117" s="100" t="e">
        <f t="shared" si="69"/>
        <v>#REF!</v>
      </c>
      <c r="H117" s="100" t="e">
        <f t="shared" si="70"/>
        <v>#REF!</v>
      </c>
      <c r="J117" s="62" t="e">
        <f t="shared" si="71"/>
        <v>#REF!</v>
      </c>
      <c r="K117" s="62" t="e">
        <f t="shared" si="72"/>
        <v>#REF!</v>
      </c>
      <c r="M117" s="62" t="e">
        <f t="shared" si="73"/>
        <v>#REF!</v>
      </c>
      <c r="N117" s="62" t="e">
        <f t="shared" si="74"/>
        <v>#REF!</v>
      </c>
      <c r="P117" s="62" t="e">
        <f t="shared" si="75"/>
        <v>#REF!</v>
      </c>
      <c r="Q117" s="62" t="e">
        <f t="shared" si="76"/>
        <v>#REF!</v>
      </c>
      <c r="S117" s="62" t="e">
        <f t="shared" si="77"/>
        <v>#REF!</v>
      </c>
      <c r="T117" s="62" t="e">
        <f t="shared" si="78"/>
        <v>#REF!</v>
      </c>
    </row>
    <row r="118" spans="1:20" ht="12.45" customHeight="1">
      <c r="A118" s="32"/>
      <c r="B118" s="62" t="e">
        <f>+#REF!</f>
        <v>#REF!</v>
      </c>
      <c r="C118" s="62" t="e">
        <f>+#REF!</f>
        <v>#REF!</v>
      </c>
      <c r="D118" s="62" t="e">
        <f>+B118-C118</f>
        <v>#REF!</v>
      </c>
      <c r="F118" s="100" t="e">
        <f t="shared" si="68"/>
        <v>#REF!</v>
      </c>
      <c r="G118" s="100" t="e">
        <f t="shared" si="69"/>
        <v>#REF!</v>
      </c>
      <c r="H118" s="100" t="e">
        <f t="shared" si="70"/>
        <v>#REF!</v>
      </c>
      <c r="J118" s="62" t="e">
        <f t="shared" si="71"/>
        <v>#REF!</v>
      </c>
      <c r="K118" s="62" t="e">
        <f t="shared" si="72"/>
        <v>#REF!</v>
      </c>
      <c r="M118" s="62" t="e">
        <f t="shared" si="73"/>
        <v>#REF!</v>
      </c>
      <c r="N118" s="62" t="e">
        <f t="shared" si="74"/>
        <v>#REF!</v>
      </c>
      <c r="P118" s="62" t="e">
        <f t="shared" si="75"/>
        <v>#REF!</v>
      </c>
      <c r="Q118" s="62" t="e">
        <f t="shared" si="76"/>
        <v>#REF!</v>
      </c>
      <c r="S118" s="62" t="e">
        <f t="shared" si="77"/>
        <v>#REF!</v>
      </c>
      <c r="T118" s="62" t="e">
        <f t="shared" si="78"/>
        <v>#REF!</v>
      </c>
    </row>
    <row r="119" spans="1:20" ht="12.45" customHeight="1">
      <c r="A119" s="32"/>
      <c r="B119" s="62" t="e">
        <f>+#REF!</f>
        <v>#REF!</v>
      </c>
      <c r="C119" s="62" t="e">
        <f>+#REF!</f>
        <v>#REF!</v>
      </c>
      <c r="D119" s="62" t="e">
        <f>+B119-C119</f>
        <v>#REF!</v>
      </c>
      <c r="F119" s="100" t="e">
        <f t="shared" si="68"/>
        <v>#REF!</v>
      </c>
      <c r="G119" s="100" t="e">
        <f t="shared" si="69"/>
        <v>#REF!</v>
      </c>
      <c r="H119" s="100" t="e">
        <f t="shared" si="70"/>
        <v>#REF!</v>
      </c>
      <c r="J119" s="62" t="e">
        <f t="shared" si="71"/>
        <v>#REF!</v>
      </c>
      <c r="K119" s="62" t="e">
        <f t="shared" si="72"/>
        <v>#REF!</v>
      </c>
      <c r="M119" s="62" t="e">
        <f t="shared" si="73"/>
        <v>#REF!</v>
      </c>
      <c r="N119" s="62" t="e">
        <f t="shared" si="74"/>
        <v>#REF!</v>
      </c>
      <c r="P119" s="62" t="e">
        <f t="shared" si="75"/>
        <v>#REF!</v>
      </c>
      <c r="Q119" s="62" t="e">
        <f t="shared" si="76"/>
        <v>#REF!</v>
      </c>
      <c r="S119" s="62" t="e">
        <f t="shared" si="77"/>
        <v>#REF!</v>
      </c>
      <c r="T119" s="62" t="e">
        <f t="shared" si="78"/>
        <v>#REF!</v>
      </c>
    </row>
    <row r="120" spans="1:20" ht="12.45" customHeight="1">
      <c r="A120" s="32" t="s">
        <v>17</v>
      </c>
      <c r="B120" s="62" t="e">
        <f>+#REF!</f>
        <v>#REF!</v>
      </c>
      <c r="C120" s="62" t="e">
        <f>+#REF!</f>
        <v>#REF!</v>
      </c>
      <c r="D120" s="62" t="e">
        <f>+B120-C120</f>
        <v>#REF!</v>
      </c>
      <c r="F120" s="100" t="e">
        <f t="shared" si="68"/>
        <v>#REF!</v>
      </c>
      <c r="G120" s="100" t="e">
        <f t="shared" si="69"/>
        <v>#REF!</v>
      </c>
      <c r="H120" s="100" t="e">
        <f t="shared" si="70"/>
        <v>#REF!</v>
      </c>
      <c r="J120" s="62" t="e">
        <f t="shared" si="71"/>
        <v>#REF!</v>
      </c>
      <c r="K120" s="62" t="e">
        <f t="shared" si="72"/>
        <v>#REF!</v>
      </c>
      <c r="M120" s="62" t="e">
        <f t="shared" si="73"/>
        <v>#REF!</v>
      </c>
      <c r="N120" s="62" t="e">
        <f t="shared" si="74"/>
        <v>#REF!</v>
      </c>
      <c r="P120" s="62" t="e">
        <f t="shared" si="75"/>
        <v>#REF!</v>
      </c>
      <c r="Q120" s="62" t="e">
        <f t="shared" si="76"/>
        <v>#REF!</v>
      </c>
      <c r="S120" s="62" t="e">
        <f t="shared" si="77"/>
        <v>#REF!</v>
      </c>
      <c r="T120" s="62" t="e">
        <f t="shared" si="78"/>
        <v>#REF!</v>
      </c>
    </row>
  </sheetData>
  <mergeCells count="6">
    <mergeCell ref="P2:Q2"/>
    <mergeCell ref="S2:T2"/>
    <mergeCell ref="F1:H1"/>
    <mergeCell ref="F2:H2"/>
    <mergeCell ref="J2:K2"/>
    <mergeCell ref="M2:N2"/>
  </mergeCells>
  <phoneticPr fontId="0" type="noConversion"/>
  <printOptions horizontalCentered="1"/>
  <pageMargins left="0.47244094488188981" right="0.31496062992125984" top="0.19685039370078741" bottom="0" header="0" footer="0"/>
  <pageSetup paperSize="9" orientation="portrait" horizontalDpi="1200" r:id="rId1"/>
  <headerFooter alignWithMargins="0">
    <oddFooter>&amp;L
&amp;"DilleniaUPC,Regular"&amp;10ที่มา : ศูนย์สารสนเทศการค้าระหว่างประเทศ  โดยความร่วมมือของกรมศุลกากร&amp;R&amp;"DilleniaUPC,Regular"&amp;10
&amp;F กรมส่งเสริมการส่งออก 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45"/>
  <sheetViews>
    <sheetView workbookViewId="0"/>
  </sheetViews>
  <sheetFormatPr defaultColWidth="9" defaultRowHeight="19.8"/>
  <cols>
    <col min="1" max="1" width="7.625" customWidth="1"/>
    <col min="2" max="7" width="0" hidden="1" customWidth="1"/>
  </cols>
  <sheetData>
    <row r="1" spans="1:12" ht="18" customHeight="1">
      <c r="A1" s="61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1.7" customHeight="1">
      <c r="B2" s="4"/>
      <c r="C2" s="17"/>
      <c r="D2" s="17"/>
      <c r="E2" s="17"/>
      <c r="F2" s="17"/>
      <c r="G2" s="17"/>
      <c r="H2" s="17"/>
      <c r="I2" s="17"/>
      <c r="L2" s="110" t="s">
        <v>37</v>
      </c>
    </row>
    <row r="3" spans="1:12" ht="11.7" customHeight="1">
      <c r="A3" s="18"/>
      <c r="B3" s="25">
        <v>2543</v>
      </c>
      <c r="C3" s="25">
        <v>2544</v>
      </c>
      <c r="D3" s="25">
        <v>2545</v>
      </c>
      <c r="E3" s="25">
        <v>2546</v>
      </c>
      <c r="F3" s="25">
        <v>2547</v>
      </c>
      <c r="G3" s="25">
        <v>2548</v>
      </c>
      <c r="H3" s="25">
        <v>2549</v>
      </c>
      <c r="I3" s="25">
        <v>2550</v>
      </c>
      <c r="J3" s="25">
        <v>2551</v>
      </c>
      <c r="K3" s="25">
        <v>2552</v>
      </c>
      <c r="L3" s="25">
        <v>2553</v>
      </c>
    </row>
    <row r="4" spans="1:12" ht="11.7" customHeight="1">
      <c r="A4" s="32" t="s">
        <v>4</v>
      </c>
      <c r="B4" s="33">
        <v>5302.87</v>
      </c>
      <c r="C4" s="33">
        <v>5187.21</v>
      </c>
      <c r="D4" s="33">
        <v>4856.8100000000004</v>
      </c>
      <c r="E4" s="34">
        <v>6112.65</v>
      </c>
      <c r="F4" s="33" t="e">
        <f>+#REF!</f>
        <v>#REF!</v>
      </c>
      <c r="G4" s="33" t="e">
        <f>+#REF!</f>
        <v>#REF!</v>
      </c>
      <c r="H4" s="33" t="e">
        <f>+#REF!</f>
        <v>#REF!</v>
      </c>
      <c r="I4" s="33" t="e">
        <f>+#REF!</f>
        <v>#REF!</v>
      </c>
      <c r="J4" s="33" t="e">
        <f>+#REF!</f>
        <v>#REF!</v>
      </c>
      <c r="K4" s="33" t="e">
        <f>+#REF!</f>
        <v>#REF!</v>
      </c>
      <c r="L4" s="33" t="e">
        <f>+#REF!</f>
        <v>#REF!</v>
      </c>
    </row>
    <row r="5" spans="1:12" ht="11.7" customHeight="1">
      <c r="A5" s="32" t="s">
        <v>5</v>
      </c>
      <c r="B5" s="34">
        <v>5406.06</v>
      </c>
      <c r="C5" s="34">
        <v>5261.08</v>
      </c>
      <c r="D5" s="34">
        <v>4863.3500000000004</v>
      </c>
      <c r="E5" s="34">
        <v>6064.27</v>
      </c>
      <c r="F5" s="34" t="e">
        <f>+#REF!</f>
        <v>#REF!</v>
      </c>
      <c r="G5" s="34" t="e">
        <f>+#REF!</f>
        <v>#REF!</v>
      </c>
      <c r="H5" s="34" t="e">
        <f>+#REF!</f>
        <v>#REF!</v>
      </c>
      <c r="I5" s="34" t="e">
        <f>+#REF!</f>
        <v>#REF!</v>
      </c>
      <c r="J5" s="34" t="e">
        <f>+#REF!</f>
        <v>#REF!</v>
      </c>
      <c r="K5" s="34" t="e">
        <f>+#REF!</f>
        <v>#REF!</v>
      </c>
      <c r="L5" s="34" t="e">
        <f>+#REF!</f>
        <v>#REF!</v>
      </c>
    </row>
    <row r="6" spans="1:12" ht="11.7" customHeight="1">
      <c r="A6" s="32" t="s">
        <v>7</v>
      </c>
      <c r="B6" s="34">
        <v>5839.43</v>
      </c>
      <c r="C6" s="34">
        <v>6066.98</v>
      </c>
      <c r="D6" s="34">
        <v>5688.31</v>
      </c>
      <c r="E6" s="34">
        <v>6612.11</v>
      </c>
      <c r="F6" s="34" t="e">
        <f>+#REF!</f>
        <v>#REF!</v>
      </c>
      <c r="G6" s="34" t="e">
        <f>+#REF!</f>
        <v>#REF!</v>
      </c>
      <c r="H6" s="34" t="e">
        <f>+#REF!</f>
        <v>#REF!</v>
      </c>
      <c r="I6" s="34" t="e">
        <f>+#REF!</f>
        <v>#REF!</v>
      </c>
      <c r="J6" s="34" t="e">
        <f>+#REF!</f>
        <v>#REF!</v>
      </c>
      <c r="K6" s="34" t="e">
        <f>+#REF!</f>
        <v>#REF!</v>
      </c>
      <c r="L6" s="34" t="e">
        <f>+#REF!</f>
        <v>#REF!</v>
      </c>
    </row>
    <row r="7" spans="1:12" ht="11.7" customHeight="1">
      <c r="A7" s="32" t="s">
        <v>10</v>
      </c>
      <c r="B7" s="34">
        <v>5248.8</v>
      </c>
      <c r="C7" s="34">
        <v>4893.8599999999997</v>
      </c>
      <c r="D7" s="34">
        <v>4911.82</v>
      </c>
      <c r="E7" s="34">
        <v>5963.49</v>
      </c>
      <c r="F7" s="34" t="e">
        <f>+#REF!</f>
        <v>#REF!</v>
      </c>
      <c r="G7" s="34" t="e">
        <f>+#REF!</f>
        <v>#REF!</v>
      </c>
      <c r="H7" s="34" t="e">
        <f>+#REF!</f>
        <v>#REF!</v>
      </c>
      <c r="I7" s="34" t="e">
        <f>+#REF!</f>
        <v>#REF!</v>
      </c>
      <c r="J7" s="34" t="e">
        <f>+#REF!</f>
        <v>#REF!</v>
      </c>
      <c r="K7" s="34" t="e">
        <f>+#REF!</f>
        <v>#REF!</v>
      </c>
      <c r="L7" s="34" t="e">
        <f>+#REF!</f>
        <v>#REF!</v>
      </c>
    </row>
    <row r="8" spans="1:12" ht="11.7" customHeight="1">
      <c r="A8" s="32" t="s">
        <v>12</v>
      </c>
      <c r="B8" s="34">
        <v>5303.15</v>
      </c>
      <c r="C8" s="34">
        <v>5751.45</v>
      </c>
      <c r="D8" s="34">
        <v>5935.49</v>
      </c>
      <c r="E8" s="34">
        <v>6749.02</v>
      </c>
      <c r="F8" s="34" t="e">
        <f>+#REF!</f>
        <v>#REF!</v>
      </c>
      <c r="G8" s="34" t="e">
        <f>+#REF!</f>
        <v>#REF!</v>
      </c>
      <c r="H8" s="34" t="e">
        <f>+#REF!</f>
        <v>#REF!</v>
      </c>
      <c r="I8" s="34" t="e">
        <f>+#REF!</f>
        <v>#REF!</v>
      </c>
      <c r="J8" s="34" t="e">
        <f>+#REF!</f>
        <v>#REF!</v>
      </c>
      <c r="K8" s="34" t="e">
        <f>+#REF!</f>
        <v>#REF!</v>
      </c>
      <c r="L8" s="34" t="e">
        <f>+#REF!</f>
        <v>#REF!</v>
      </c>
    </row>
    <row r="9" spans="1:12" ht="11.7" customHeight="1">
      <c r="A9" s="32" t="s">
        <v>14</v>
      </c>
      <c r="B9" s="34">
        <v>5574.4</v>
      </c>
      <c r="C9" s="34">
        <v>5559.22</v>
      </c>
      <c r="D9" s="34">
        <v>5834.09</v>
      </c>
      <c r="E9" s="34">
        <v>6591.14</v>
      </c>
      <c r="F9" s="34" t="e">
        <f>+#REF!</f>
        <v>#REF!</v>
      </c>
      <c r="G9" s="34" t="e">
        <f>+#REF!</f>
        <v>#REF!</v>
      </c>
      <c r="H9" s="34" t="e">
        <f>+#REF!</f>
        <v>#REF!</v>
      </c>
      <c r="I9" s="34" t="e">
        <f>+#REF!</f>
        <v>#REF!</v>
      </c>
      <c r="J9" s="34" t="e">
        <f>+#REF!</f>
        <v>#REF!</v>
      </c>
      <c r="K9" s="34" t="e">
        <f>+#REF!</f>
        <v>#REF!</v>
      </c>
      <c r="L9" s="34" t="e">
        <f>+#REF!</f>
        <v>#REF!</v>
      </c>
    </row>
    <row r="10" spans="1:12" ht="11.7" customHeight="1">
      <c r="A10" s="32" t="s">
        <v>17</v>
      </c>
      <c r="B10" s="34">
        <v>6135.21</v>
      </c>
      <c r="C10" s="34">
        <v>5320.2</v>
      </c>
      <c r="D10" s="34">
        <v>5570.72</v>
      </c>
      <c r="E10" s="34">
        <v>6491.77</v>
      </c>
      <c r="F10" s="34" t="e">
        <f>+#REF!</f>
        <v>#REF!</v>
      </c>
      <c r="G10" s="34" t="e">
        <f>+#REF!</f>
        <v>#REF!</v>
      </c>
      <c r="H10" s="34" t="e">
        <f>+#REF!</f>
        <v>#REF!</v>
      </c>
      <c r="I10" s="34" t="e">
        <f>+#REF!</f>
        <v>#REF!</v>
      </c>
      <c r="J10" s="34" t="e">
        <f>+#REF!</f>
        <v>#REF!</v>
      </c>
      <c r="K10" s="34" t="e">
        <f>+#REF!</f>
        <v>#REF!</v>
      </c>
      <c r="L10" s="34" t="e">
        <f>+#REF!</f>
        <v>#REF!</v>
      </c>
    </row>
    <row r="11" spans="1:12" ht="11.7" customHeight="1">
      <c r="A11" s="32" t="s">
        <v>20</v>
      </c>
      <c r="B11" s="34">
        <v>6279.37</v>
      </c>
      <c r="C11" s="34">
        <v>5742.2</v>
      </c>
      <c r="D11" s="34">
        <v>6151.08</v>
      </c>
      <c r="E11" s="34">
        <v>6487.17</v>
      </c>
      <c r="F11" s="34" t="e">
        <f>+#REF!</f>
        <v>#REF!</v>
      </c>
      <c r="G11" s="34" t="e">
        <f>+#REF!</f>
        <v>#REF!</v>
      </c>
      <c r="H11" s="34" t="e">
        <f>+#REF!</f>
        <v>#REF!</v>
      </c>
      <c r="I11" s="34" t="e">
        <f>+#REF!</f>
        <v>#REF!</v>
      </c>
      <c r="J11" s="34" t="e">
        <f>+#REF!</f>
        <v>#REF!</v>
      </c>
      <c r="K11" s="34" t="e">
        <f>+#REF!</f>
        <v>#REF!</v>
      </c>
      <c r="L11" s="34" t="e">
        <f>+#REF!</f>
        <v>#REF!</v>
      </c>
    </row>
    <row r="12" spans="1:12" ht="11.7" customHeight="1">
      <c r="A12" s="32" t="s">
        <v>22</v>
      </c>
      <c r="B12" s="34">
        <v>6089.38</v>
      </c>
      <c r="C12" s="34">
        <v>5490.83</v>
      </c>
      <c r="D12" s="34">
        <v>6284.88</v>
      </c>
      <c r="E12" s="34">
        <v>7100.08</v>
      </c>
      <c r="F12" s="34" t="e">
        <f>+#REF!</f>
        <v>#REF!</v>
      </c>
      <c r="G12" s="34" t="e">
        <f>+#REF!</f>
        <v>#REF!</v>
      </c>
      <c r="H12" s="34" t="e">
        <f>+#REF!</f>
        <v>#REF!</v>
      </c>
      <c r="I12" s="34" t="e">
        <f>+#REF!</f>
        <v>#REF!</v>
      </c>
      <c r="J12" s="34" t="e">
        <f>+#REF!</f>
        <v>#REF!</v>
      </c>
      <c r="K12" s="34" t="e">
        <f>+#REF!</f>
        <v>#REF!</v>
      </c>
      <c r="L12" s="34" t="e">
        <f>+#REF!</f>
        <v>#REF!</v>
      </c>
    </row>
    <row r="13" spans="1:12" ht="11.7" customHeight="1">
      <c r="A13" s="32" t="s">
        <v>25</v>
      </c>
      <c r="B13" s="34">
        <v>6309.06</v>
      </c>
      <c r="C13" s="34">
        <v>5435.98</v>
      </c>
      <c r="D13" s="34">
        <v>6315</v>
      </c>
      <c r="E13" s="34">
        <v>7415.55</v>
      </c>
      <c r="F13" s="34" t="e">
        <f>+#REF!</f>
        <v>#REF!</v>
      </c>
      <c r="G13" s="34" t="e">
        <f>+#REF!</f>
        <v>#REF!</v>
      </c>
      <c r="H13" s="34" t="e">
        <f>+#REF!</f>
        <v>#REF!</v>
      </c>
      <c r="I13" s="34" t="e">
        <f>+#REF!</f>
        <v>#REF!</v>
      </c>
      <c r="J13" s="34" t="e">
        <f>+#REF!</f>
        <v>#REF!</v>
      </c>
      <c r="K13" s="34" t="e">
        <f>+#REF!</f>
        <v>#REF!</v>
      </c>
      <c r="L13" s="34" t="e">
        <f>+#REF!</f>
        <v>#REF!</v>
      </c>
    </row>
    <row r="14" spans="1:12" ht="11.7" customHeight="1">
      <c r="A14" s="32" t="s">
        <v>27</v>
      </c>
      <c r="B14" s="34">
        <v>6219.54</v>
      </c>
      <c r="C14" s="34">
        <v>5441.04</v>
      </c>
      <c r="D14" s="34">
        <v>6200.43</v>
      </c>
      <c r="E14" s="34">
        <v>7212.13</v>
      </c>
      <c r="F14" s="34" t="e">
        <f>+#REF!</f>
        <v>#REF!</v>
      </c>
      <c r="G14" s="34" t="e">
        <f>+#REF!</f>
        <v>#REF!</v>
      </c>
      <c r="H14" s="34" t="e">
        <f>+#REF!</f>
        <v>#REF!</v>
      </c>
      <c r="I14" s="34" t="e">
        <f>+#REF!</f>
        <v>#REF!</v>
      </c>
      <c r="J14" s="34" t="e">
        <f>+#REF!</f>
        <v>#REF!</v>
      </c>
      <c r="K14" s="34" t="e">
        <f>+#REF!</f>
        <v>#REF!</v>
      </c>
      <c r="L14" s="34" t="e">
        <f>+#REF!</f>
        <v>#REF!</v>
      </c>
    </row>
    <row r="15" spans="1:12" ht="11.7" customHeight="1">
      <c r="A15" s="66" t="s">
        <v>29</v>
      </c>
      <c r="B15" s="67">
        <v>5916.97</v>
      </c>
      <c r="C15" s="67">
        <v>5033.18</v>
      </c>
      <c r="D15" s="67">
        <v>5544.33</v>
      </c>
      <c r="E15" s="67">
        <v>7250.01</v>
      </c>
      <c r="F15" s="67" t="e">
        <f>+#REF!</f>
        <v>#REF!</v>
      </c>
      <c r="G15" s="67" t="e">
        <f>+#REF!</f>
        <v>#REF!</v>
      </c>
      <c r="H15" s="67" t="e">
        <f>+#REF!</f>
        <v>#REF!</v>
      </c>
      <c r="I15" s="67" t="e">
        <f>+#REF!</f>
        <v>#REF!</v>
      </c>
      <c r="J15" s="67" t="e">
        <f>+#REF!</f>
        <v>#REF!</v>
      </c>
      <c r="K15" s="67" t="e">
        <f>+#REF!</f>
        <v>#REF!</v>
      </c>
      <c r="L15" s="67" t="e">
        <f>+#REF!</f>
        <v>#REF!</v>
      </c>
    </row>
    <row r="16" spans="1:12" ht="18" customHeight="1">
      <c r="A16" s="61" t="s">
        <v>33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12" ht="11.7" customHeight="1">
      <c r="B17" s="4"/>
      <c r="C17" s="17"/>
      <c r="D17" s="17"/>
      <c r="E17" s="17"/>
      <c r="F17" s="17"/>
      <c r="G17" s="17"/>
      <c r="H17" s="17"/>
      <c r="I17" s="17"/>
      <c r="L17" s="110" t="s">
        <v>37</v>
      </c>
    </row>
    <row r="18" spans="1:12" ht="11.7" customHeight="1">
      <c r="A18" s="18"/>
      <c r="B18" s="25">
        <v>2543</v>
      </c>
      <c r="C18" s="25">
        <v>2544</v>
      </c>
      <c r="D18" s="25">
        <v>2545</v>
      </c>
      <c r="E18" s="25">
        <v>2546</v>
      </c>
      <c r="F18" s="25">
        <v>2547</v>
      </c>
      <c r="G18" s="25">
        <v>2548</v>
      </c>
      <c r="H18" s="25">
        <v>2549</v>
      </c>
      <c r="I18" s="25">
        <v>2550</v>
      </c>
      <c r="J18" s="25">
        <v>2551</v>
      </c>
      <c r="K18" s="25">
        <v>2552</v>
      </c>
      <c r="L18" s="25">
        <v>2553</v>
      </c>
    </row>
    <row r="19" spans="1:12" ht="11.7" customHeight="1">
      <c r="A19" s="32" t="s">
        <v>4</v>
      </c>
      <c r="B19" s="34">
        <v>4120.25</v>
      </c>
      <c r="C19" s="34">
        <v>5556.5</v>
      </c>
      <c r="D19" s="34">
        <v>4997.34</v>
      </c>
      <c r="E19" s="34">
        <v>5911.84</v>
      </c>
      <c r="F19" s="33" t="e">
        <f>+#REF!</f>
        <v>#REF!</v>
      </c>
      <c r="G19" s="33" t="e">
        <f>+#REF!</f>
        <v>#REF!</v>
      </c>
      <c r="H19" s="33" t="e">
        <f>+#REF!</f>
        <v>#REF!</v>
      </c>
      <c r="I19" s="33" t="e">
        <f>+#REF!</f>
        <v>#REF!</v>
      </c>
      <c r="J19" s="33" t="e">
        <f>+#REF!</f>
        <v>#REF!</v>
      </c>
      <c r="K19" s="33" t="e">
        <f>+#REF!</f>
        <v>#REF!</v>
      </c>
      <c r="L19" s="33" t="e">
        <f>+#REF!</f>
        <v>#REF!</v>
      </c>
    </row>
    <row r="20" spans="1:12" ht="11.7" customHeight="1">
      <c r="A20" s="32" t="s">
        <v>5</v>
      </c>
      <c r="B20" s="34">
        <v>4992.47</v>
      </c>
      <c r="C20" s="34">
        <v>5205.74</v>
      </c>
      <c r="D20" s="34">
        <v>4358.17</v>
      </c>
      <c r="E20" s="34">
        <v>5400.87</v>
      </c>
      <c r="F20" s="34" t="e">
        <f>+#REF!</f>
        <v>#REF!</v>
      </c>
      <c r="G20" s="34" t="e">
        <f>+#REF!</f>
        <v>#REF!</v>
      </c>
      <c r="H20" s="34" t="e">
        <f>+#REF!</f>
        <v>#REF!</v>
      </c>
      <c r="I20" s="34" t="e">
        <f>+#REF!</f>
        <v>#REF!</v>
      </c>
      <c r="J20" s="34" t="e">
        <f>+#REF!</f>
        <v>#REF!</v>
      </c>
      <c r="K20" s="34" t="e">
        <f>+#REF!</f>
        <v>#REF!</v>
      </c>
      <c r="L20" s="34" t="e">
        <f>+#REF!</f>
        <v>#REF!</v>
      </c>
    </row>
    <row r="21" spans="1:12" ht="11.7" customHeight="1">
      <c r="A21" s="32" t="s">
        <v>7</v>
      </c>
      <c r="B21" s="34">
        <v>4768.04</v>
      </c>
      <c r="C21" s="34">
        <v>5764.54</v>
      </c>
      <c r="D21" s="34">
        <v>5270.16</v>
      </c>
      <c r="E21" s="34">
        <v>6103.91</v>
      </c>
      <c r="F21" s="34" t="e">
        <f>+#REF!</f>
        <v>#REF!</v>
      </c>
      <c r="G21" s="34" t="e">
        <f>+#REF!</f>
        <v>#REF!</v>
      </c>
      <c r="H21" s="34" t="e">
        <f>+#REF!</f>
        <v>#REF!</v>
      </c>
      <c r="I21" s="34" t="e">
        <f>+#REF!</f>
        <v>#REF!</v>
      </c>
      <c r="J21" s="34" t="e">
        <f>+#REF!</f>
        <v>#REF!</v>
      </c>
      <c r="K21" s="34" t="e">
        <f>+#REF!</f>
        <v>#REF!</v>
      </c>
      <c r="L21" s="34" t="e">
        <f>+#REF!</f>
        <v>#REF!</v>
      </c>
    </row>
    <row r="22" spans="1:12" ht="11.7" customHeight="1">
      <c r="A22" s="32" t="s">
        <v>10</v>
      </c>
      <c r="B22" s="34">
        <v>4754.07</v>
      </c>
      <c r="C22" s="34">
        <v>4894.16</v>
      </c>
      <c r="D22" s="34">
        <v>5163.91</v>
      </c>
      <c r="E22" s="34">
        <v>5783.99</v>
      </c>
      <c r="F22" s="34" t="e">
        <f>+#REF!</f>
        <v>#REF!</v>
      </c>
      <c r="G22" s="34" t="e">
        <f>+#REF!</f>
        <v>#REF!</v>
      </c>
      <c r="H22" s="34" t="e">
        <f>+#REF!</f>
        <v>#REF!</v>
      </c>
      <c r="I22" s="34" t="e">
        <f>+#REF!</f>
        <v>#REF!</v>
      </c>
      <c r="J22" s="34" t="e">
        <f>+#REF!</f>
        <v>#REF!</v>
      </c>
      <c r="K22" s="34" t="e">
        <f>+#REF!</f>
        <v>#REF!</v>
      </c>
      <c r="L22" s="34" t="e">
        <f>+#REF!</f>
        <v>#REF!</v>
      </c>
    </row>
    <row r="23" spans="1:12" ht="11.7" customHeight="1">
      <c r="A23" s="32" t="s">
        <v>12</v>
      </c>
      <c r="B23" s="34">
        <v>4702.3599999999997</v>
      </c>
      <c r="C23" s="34">
        <v>5327.61</v>
      </c>
      <c r="D23" s="34">
        <v>5281.8</v>
      </c>
      <c r="E23" s="34">
        <v>5985.38</v>
      </c>
      <c r="F23" s="34" t="e">
        <f>+#REF!</f>
        <v>#REF!</v>
      </c>
      <c r="G23" s="34" t="e">
        <f>+#REF!</f>
        <v>#REF!</v>
      </c>
      <c r="H23" s="34" t="e">
        <f>+#REF!</f>
        <v>#REF!</v>
      </c>
      <c r="I23" s="34" t="e">
        <f>+#REF!</f>
        <v>#REF!</v>
      </c>
      <c r="J23" s="34" t="e">
        <f>+#REF!</f>
        <v>#REF!</v>
      </c>
      <c r="K23" s="34" t="e">
        <f>+#REF!</f>
        <v>#REF!</v>
      </c>
      <c r="L23" s="34" t="e">
        <f>+#REF!</f>
        <v>#REF!</v>
      </c>
    </row>
    <row r="24" spans="1:12" ht="11.7" customHeight="1">
      <c r="A24" s="32" t="s">
        <v>14</v>
      </c>
      <c r="B24" s="34">
        <v>5473.05</v>
      </c>
      <c r="C24" s="34">
        <v>4845.03</v>
      </c>
      <c r="D24" s="34">
        <v>5314.82</v>
      </c>
      <c r="E24" s="43">
        <v>5815.86</v>
      </c>
      <c r="F24" s="43" t="e">
        <f>+#REF!</f>
        <v>#REF!</v>
      </c>
      <c r="G24" s="43" t="e">
        <f>+#REF!</f>
        <v>#REF!</v>
      </c>
      <c r="H24" s="43" t="e">
        <f>+#REF!</f>
        <v>#REF!</v>
      </c>
      <c r="I24" s="43" t="e">
        <f>+#REF!</f>
        <v>#REF!</v>
      </c>
      <c r="J24" s="43" t="e">
        <f>+#REF!</f>
        <v>#REF!</v>
      </c>
      <c r="K24" s="43" t="e">
        <f>+#REF!</f>
        <v>#REF!</v>
      </c>
      <c r="L24" s="43" t="e">
        <f>+#REF!</f>
        <v>#REF!</v>
      </c>
    </row>
    <row r="25" spans="1:12" ht="11.7" customHeight="1">
      <c r="A25" s="32" t="s">
        <v>17</v>
      </c>
      <c r="B25" s="34">
        <v>5260.61</v>
      </c>
      <c r="C25" s="34">
        <v>5458.84</v>
      </c>
      <c r="D25" s="34">
        <v>5752.53</v>
      </c>
      <c r="E25" s="34">
        <v>6467.1</v>
      </c>
      <c r="F25" s="34" t="e">
        <f>+#REF!</f>
        <v>#REF!</v>
      </c>
      <c r="G25" s="34" t="e">
        <f>+#REF!</f>
        <v>#REF!</v>
      </c>
      <c r="H25" s="34" t="e">
        <f>+#REF!</f>
        <v>#REF!</v>
      </c>
      <c r="I25" s="34" t="e">
        <f>+#REF!</f>
        <v>#REF!</v>
      </c>
      <c r="J25" s="34" t="e">
        <f>+#REF!</f>
        <v>#REF!</v>
      </c>
      <c r="K25" s="34" t="e">
        <f>+#REF!</f>
        <v>#REF!</v>
      </c>
      <c r="L25" s="34" t="e">
        <f>+#REF!</f>
        <v>#REF!</v>
      </c>
    </row>
    <row r="26" spans="1:12" ht="11.7" customHeight="1">
      <c r="A26" s="32" t="s">
        <v>20</v>
      </c>
      <c r="B26" s="34">
        <v>5833.03</v>
      </c>
      <c r="C26" s="34">
        <v>5109.8900000000003</v>
      </c>
      <c r="D26" s="34">
        <v>5912.98</v>
      </c>
      <c r="E26" s="34">
        <v>6280.7</v>
      </c>
      <c r="F26" s="34" t="e">
        <f>+#REF!</f>
        <v>#REF!</v>
      </c>
      <c r="G26" s="34" t="e">
        <f>+#REF!</f>
        <v>#REF!</v>
      </c>
      <c r="H26" s="34" t="e">
        <f>+#REF!</f>
        <v>#REF!</v>
      </c>
      <c r="I26" s="34" t="e">
        <f>+#REF!</f>
        <v>#REF!</v>
      </c>
      <c r="J26" s="34" t="e">
        <f>+#REF!</f>
        <v>#REF!</v>
      </c>
      <c r="K26" s="34" t="e">
        <f>+#REF!</f>
        <v>#REF!</v>
      </c>
      <c r="L26" s="34" t="e">
        <f>+#REF!</f>
        <v>#REF!</v>
      </c>
    </row>
    <row r="27" spans="1:12" ht="11.7" customHeight="1">
      <c r="A27" s="32" t="s">
        <v>22</v>
      </c>
      <c r="B27" s="34">
        <v>5383.58</v>
      </c>
      <c r="C27" s="34">
        <v>5049.1000000000004</v>
      </c>
      <c r="D27" s="34">
        <v>5478.6</v>
      </c>
      <c r="E27" s="34">
        <v>6345.87</v>
      </c>
      <c r="F27" s="34" t="e">
        <f>+#REF!</f>
        <v>#REF!</v>
      </c>
      <c r="G27" s="34" t="e">
        <f>+#REF!</f>
        <v>#REF!</v>
      </c>
      <c r="H27" s="34" t="e">
        <f>+#REF!</f>
        <v>#REF!</v>
      </c>
      <c r="I27" s="34" t="e">
        <f>+#REF!</f>
        <v>#REF!</v>
      </c>
      <c r="J27" s="34" t="e">
        <f>+#REF!</f>
        <v>#REF!</v>
      </c>
      <c r="K27" s="34" t="e">
        <f>+#REF!</f>
        <v>#REF!</v>
      </c>
      <c r="L27" s="34" t="e">
        <f>+#REF!</f>
        <v>#REF!</v>
      </c>
    </row>
    <row r="28" spans="1:12" ht="11.7" customHeight="1">
      <c r="A28" s="32" t="s">
        <v>25</v>
      </c>
      <c r="B28" s="34">
        <v>5992.04</v>
      </c>
      <c r="C28" s="34">
        <v>5055.74</v>
      </c>
      <c r="D28" s="34">
        <v>5798.53</v>
      </c>
      <c r="E28" s="34">
        <v>6985.37</v>
      </c>
      <c r="F28" s="34" t="e">
        <f>+#REF!</f>
        <v>#REF!</v>
      </c>
      <c r="G28" s="34" t="e">
        <f>+#REF!</f>
        <v>#REF!</v>
      </c>
      <c r="H28" s="34" t="e">
        <f>+#REF!</f>
        <v>#REF!</v>
      </c>
      <c r="I28" s="34" t="e">
        <f>+#REF!</f>
        <v>#REF!</v>
      </c>
      <c r="J28" s="34" t="e">
        <f>+#REF!</f>
        <v>#REF!</v>
      </c>
      <c r="K28" s="34" t="e">
        <f>+#REF!</f>
        <v>#REF!</v>
      </c>
      <c r="L28" s="34" t="e">
        <f>+#REF!</f>
        <v>#REF!</v>
      </c>
    </row>
    <row r="29" spans="1:12" ht="11.7" customHeight="1">
      <c r="A29" s="32" t="s">
        <v>27</v>
      </c>
      <c r="B29" s="34">
        <v>5704.55</v>
      </c>
      <c r="C29" s="34">
        <v>5068.62</v>
      </c>
      <c r="D29" s="34">
        <v>5842.88</v>
      </c>
      <c r="E29" s="34">
        <v>6602.06</v>
      </c>
      <c r="F29" s="34" t="e">
        <f>+#REF!</f>
        <v>#REF!</v>
      </c>
      <c r="G29" s="34" t="e">
        <f>+#REF!</f>
        <v>#REF!</v>
      </c>
      <c r="H29" s="34" t="e">
        <f>+#REF!</f>
        <v>#REF!</v>
      </c>
      <c r="I29" s="34" t="e">
        <f>+#REF!</f>
        <v>#REF!</v>
      </c>
      <c r="J29" s="34" t="e">
        <f>+#REF!</f>
        <v>#REF!</v>
      </c>
      <c r="K29" s="34" t="e">
        <f>+#REF!</f>
        <v>#REF!</v>
      </c>
      <c r="L29" s="34" t="e">
        <f>+#REF!</f>
        <v>#REF!</v>
      </c>
    </row>
    <row r="30" spans="1:12" ht="11.7" customHeight="1">
      <c r="A30" s="66" t="s">
        <v>29</v>
      </c>
      <c r="B30" s="67">
        <v>5196.33</v>
      </c>
      <c r="C30" s="67">
        <v>4393.37</v>
      </c>
      <c r="D30" s="67">
        <v>5067.57</v>
      </c>
      <c r="E30" s="67">
        <v>7331.71</v>
      </c>
      <c r="F30" s="67" t="e">
        <f>+#REF!</f>
        <v>#REF!</v>
      </c>
      <c r="G30" s="67" t="e">
        <f>+#REF!</f>
        <v>#REF!</v>
      </c>
      <c r="H30" s="67" t="e">
        <f>+#REF!</f>
        <v>#REF!</v>
      </c>
      <c r="I30" s="67" t="e">
        <f>+#REF!</f>
        <v>#REF!</v>
      </c>
      <c r="J30" s="67" t="e">
        <f>+#REF!</f>
        <v>#REF!</v>
      </c>
      <c r="K30" s="67" t="e">
        <f>+#REF!</f>
        <v>#REF!</v>
      </c>
      <c r="L30" s="67" t="e">
        <f>+#REF!</f>
        <v>#REF!</v>
      </c>
    </row>
    <row r="31" spans="1:12" ht="18" customHeight="1">
      <c r="A31" s="61" t="s">
        <v>36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1:12" ht="11.7" customHeight="1">
      <c r="B32" s="4"/>
      <c r="C32" s="17"/>
      <c r="D32" s="17"/>
      <c r="E32" s="17"/>
      <c r="F32" s="17"/>
      <c r="G32" s="17"/>
      <c r="H32" s="17"/>
      <c r="I32" s="17"/>
      <c r="L32" s="110" t="s">
        <v>37</v>
      </c>
    </row>
    <row r="33" spans="1:12" ht="11.7" customHeight="1">
      <c r="A33" s="18"/>
      <c r="B33" s="25">
        <v>2543</v>
      </c>
      <c r="C33" s="25">
        <v>2544</v>
      </c>
      <c r="D33" s="25">
        <v>2545</v>
      </c>
      <c r="E33" s="25">
        <v>2546</v>
      </c>
      <c r="F33" s="25">
        <v>2547</v>
      </c>
      <c r="G33" s="25">
        <v>2548</v>
      </c>
      <c r="H33" s="25">
        <v>2549</v>
      </c>
      <c r="I33" s="25">
        <v>2550</v>
      </c>
      <c r="J33" s="25">
        <v>2551</v>
      </c>
      <c r="K33" s="25">
        <v>2552</v>
      </c>
      <c r="L33" s="25">
        <v>2553</v>
      </c>
    </row>
    <row r="34" spans="1:12" ht="11.7" customHeight="1">
      <c r="A34" s="32" t="s">
        <v>4</v>
      </c>
      <c r="B34" s="33">
        <f t="shared" ref="B34:F41" si="0">+B4-B19</f>
        <v>1182.6199999999999</v>
      </c>
      <c r="C34" s="33">
        <f t="shared" si="0"/>
        <v>-369.28999999999996</v>
      </c>
      <c r="D34" s="33">
        <f t="shared" si="0"/>
        <v>-140.52999999999975</v>
      </c>
      <c r="E34" s="33">
        <f t="shared" si="0"/>
        <v>200.80999999999949</v>
      </c>
      <c r="F34" s="33" t="e">
        <f t="shared" si="0"/>
        <v>#REF!</v>
      </c>
      <c r="G34" s="33" t="e">
        <f t="shared" ref="G34:H42" si="1">+G4-G19</f>
        <v>#REF!</v>
      </c>
      <c r="H34" s="33" t="e">
        <f t="shared" si="1"/>
        <v>#REF!</v>
      </c>
      <c r="I34" s="33" t="e">
        <f t="shared" ref="I34:J38" si="2">+I4-I19</f>
        <v>#REF!</v>
      </c>
      <c r="J34" s="33" t="e">
        <f t="shared" si="2"/>
        <v>#REF!</v>
      </c>
      <c r="K34" s="33" t="e">
        <f t="shared" ref="K34:L37" si="3">+K4-K19</f>
        <v>#REF!</v>
      </c>
      <c r="L34" s="33" t="e">
        <f t="shared" si="3"/>
        <v>#REF!</v>
      </c>
    </row>
    <row r="35" spans="1:12" ht="11.7" customHeight="1">
      <c r="A35" s="32" t="s">
        <v>5</v>
      </c>
      <c r="B35" s="34">
        <f t="shared" si="0"/>
        <v>413.59000000000015</v>
      </c>
      <c r="C35" s="34">
        <f t="shared" si="0"/>
        <v>55.340000000000146</v>
      </c>
      <c r="D35" s="34">
        <f t="shared" si="0"/>
        <v>505.18000000000029</v>
      </c>
      <c r="E35" s="34">
        <f t="shared" si="0"/>
        <v>663.40000000000055</v>
      </c>
      <c r="F35" s="34" t="e">
        <f t="shared" si="0"/>
        <v>#REF!</v>
      </c>
      <c r="G35" s="34" t="e">
        <f t="shared" si="1"/>
        <v>#REF!</v>
      </c>
      <c r="H35" s="34" t="e">
        <f t="shared" si="1"/>
        <v>#REF!</v>
      </c>
      <c r="I35" s="34" t="e">
        <f t="shared" si="2"/>
        <v>#REF!</v>
      </c>
      <c r="J35" s="34" t="e">
        <f t="shared" si="2"/>
        <v>#REF!</v>
      </c>
      <c r="K35" s="34" t="e">
        <f t="shared" si="3"/>
        <v>#REF!</v>
      </c>
      <c r="L35" s="34" t="e">
        <f t="shared" si="3"/>
        <v>#REF!</v>
      </c>
    </row>
    <row r="36" spans="1:12" ht="11.7" customHeight="1">
      <c r="A36" s="32" t="s">
        <v>7</v>
      </c>
      <c r="B36" s="34">
        <f t="shared" si="0"/>
        <v>1071.3900000000003</v>
      </c>
      <c r="C36" s="34">
        <f t="shared" si="0"/>
        <v>302.4399999999996</v>
      </c>
      <c r="D36" s="34">
        <f t="shared" si="0"/>
        <v>418.15000000000055</v>
      </c>
      <c r="E36" s="34">
        <f t="shared" si="0"/>
        <v>508.19999999999982</v>
      </c>
      <c r="F36" s="34" t="e">
        <f t="shared" si="0"/>
        <v>#REF!</v>
      </c>
      <c r="G36" s="34" t="e">
        <f t="shared" si="1"/>
        <v>#REF!</v>
      </c>
      <c r="H36" s="34" t="e">
        <f t="shared" si="1"/>
        <v>#REF!</v>
      </c>
      <c r="I36" s="34" t="e">
        <f t="shared" si="2"/>
        <v>#REF!</v>
      </c>
      <c r="J36" s="34" t="e">
        <f t="shared" si="2"/>
        <v>#REF!</v>
      </c>
      <c r="K36" s="34" t="e">
        <f t="shared" si="3"/>
        <v>#REF!</v>
      </c>
      <c r="L36" s="34" t="e">
        <f t="shared" si="3"/>
        <v>#REF!</v>
      </c>
    </row>
    <row r="37" spans="1:12" ht="11.7" customHeight="1">
      <c r="A37" s="32" t="s">
        <v>10</v>
      </c>
      <c r="B37" s="34">
        <f t="shared" si="0"/>
        <v>494.73000000000047</v>
      </c>
      <c r="C37" s="34">
        <f t="shared" si="0"/>
        <v>-0.3000000000001819</v>
      </c>
      <c r="D37" s="34">
        <f t="shared" si="0"/>
        <v>-252.09000000000015</v>
      </c>
      <c r="E37" s="34">
        <f t="shared" si="0"/>
        <v>179.5</v>
      </c>
      <c r="F37" s="34" t="e">
        <f t="shared" si="0"/>
        <v>#REF!</v>
      </c>
      <c r="G37" s="34" t="e">
        <f t="shared" si="1"/>
        <v>#REF!</v>
      </c>
      <c r="H37" s="34" t="e">
        <f t="shared" si="1"/>
        <v>#REF!</v>
      </c>
      <c r="I37" s="34" t="e">
        <f t="shared" si="2"/>
        <v>#REF!</v>
      </c>
      <c r="J37" s="34" t="e">
        <f t="shared" si="2"/>
        <v>#REF!</v>
      </c>
      <c r="K37" s="34" t="e">
        <f t="shared" si="3"/>
        <v>#REF!</v>
      </c>
      <c r="L37" s="34" t="e">
        <f t="shared" si="3"/>
        <v>#REF!</v>
      </c>
    </row>
    <row r="38" spans="1:12" ht="11.7" customHeight="1">
      <c r="A38" s="32" t="s">
        <v>12</v>
      </c>
      <c r="B38" s="34">
        <f t="shared" si="0"/>
        <v>600.79</v>
      </c>
      <c r="C38" s="34">
        <f t="shared" si="0"/>
        <v>423.84000000000015</v>
      </c>
      <c r="D38" s="34">
        <f t="shared" si="0"/>
        <v>653.6899999999996</v>
      </c>
      <c r="E38" s="34">
        <f t="shared" si="0"/>
        <v>763.64000000000033</v>
      </c>
      <c r="F38" s="34" t="e">
        <f t="shared" si="0"/>
        <v>#REF!</v>
      </c>
      <c r="G38" s="34" t="e">
        <f t="shared" si="1"/>
        <v>#REF!</v>
      </c>
      <c r="H38" s="34" t="e">
        <f t="shared" si="1"/>
        <v>#REF!</v>
      </c>
      <c r="I38" s="34" t="e">
        <f t="shared" si="2"/>
        <v>#REF!</v>
      </c>
      <c r="J38" s="34" t="e">
        <f t="shared" si="2"/>
        <v>#REF!</v>
      </c>
      <c r="K38" s="34" t="e">
        <f t="shared" ref="K38:L45" si="4">+K8-K23</f>
        <v>#REF!</v>
      </c>
      <c r="L38" s="34" t="e">
        <f t="shared" si="4"/>
        <v>#REF!</v>
      </c>
    </row>
    <row r="39" spans="1:12" ht="11.7" customHeight="1">
      <c r="A39" s="32" t="s">
        <v>14</v>
      </c>
      <c r="B39" s="34">
        <f t="shared" si="0"/>
        <v>101.34999999999945</v>
      </c>
      <c r="C39" s="34">
        <f t="shared" si="0"/>
        <v>714.19000000000051</v>
      </c>
      <c r="D39" s="34">
        <f t="shared" si="0"/>
        <v>519.27000000000044</v>
      </c>
      <c r="E39" s="34">
        <f t="shared" si="0"/>
        <v>775.28000000000065</v>
      </c>
      <c r="F39" s="34" t="e">
        <f t="shared" si="0"/>
        <v>#REF!</v>
      </c>
      <c r="G39" s="34" t="e">
        <f t="shared" si="1"/>
        <v>#REF!</v>
      </c>
      <c r="H39" s="34" t="e">
        <f t="shared" si="1"/>
        <v>#REF!</v>
      </c>
      <c r="I39" s="34" t="e">
        <f t="shared" ref="I39:J45" si="5">+I9-I24</f>
        <v>#REF!</v>
      </c>
      <c r="J39" s="34" t="e">
        <f t="shared" si="5"/>
        <v>#REF!</v>
      </c>
      <c r="K39" s="34" t="e">
        <f t="shared" si="4"/>
        <v>#REF!</v>
      </c>
      <c r="L39" s="34" t="e">
        <f t="shared" si="4"/>
        <v>#REF!</v>
      </c>
    </row>
    <row r="40" spans="1:12" ht="11.7" customHeight="1">
      <c r="A40" s="32" t="s">
        <v>17</v>
      </c>
      <c r="B40" s="34">
        <f t="shared" si="0"/>
        <v>874.60000000000036</v>
      </c>
      <c r="C40" s="34">
        <f t="shared" si="0"/>
        <v>-138.64000000000033</v>
      </c>
      <c r="D40" s="34">
        <f t="shared" si="0"/>
        <v>-181.80999999999949</v>
      </c>
      <c r="E40" s="34">
        <f t="shared" si="0"/>
        <v>24.670000000000073</v>
      </c>
      <c r="F40" s="34" t="e">
        <f t="shared" si="0"/>
        <v>#REF!</v>
      </c>
      <c r="G40" s="34" t="e">
        <f t="shared" si="1"/>
        <v>#REF!</v>
      </c>
      <c r="H40" s="34" t="e">
        <f t="shared" si="1"/>
        <v>#REF!</v>
      </c>
      <c r="I40" s="34" t="e">
        <f t="shared" si="5"/>
        <v>#REF!</v>
      </c>
      <c r="J40" s="34" t="e">
        <f t="shared" si="5"/>
        <v>#REF!</v>
      </c>
      <c r="K40" s="34" t="e">
        <f t="shared" si="4"/>
        <v>#REF!</v>
      </c>
      <c r="L40" s="34" t="e">
        <f t="shared" si="4"/>
        <v>#REF!</v>
      </c>
    </row>
    <row r="41" spans="1:12" ht="11.7" customHeight="1">
      <c r="A41" s="32" t="s">
        <v>20</v>
      </c>
      <c r="B41" s="34">
        <f t="shared" ref="B41:E45" si="6">+B11-B26</f>
        <v>446.34000000000015</v>
      </c>
      <c r="C41" s="34">
        <f t="shared" si="6"/>
        <v>632.30999999999949</v>
      </c>
      <c r="D41" s="34">
        <f t="shared" si="6"/>
        <v>238.10000000000036</v>
      </c>
      <c r="E41" s="34">
        <f t="shared" si="6"/>
        <v>206.47000000000025</v>
      </c>
      <c r="F41" s="34" t="e">
        <f t="shared" si="0"/>
        <v>#REF!</v>
      </c>
      <c r="G41" s="34" t="e">
        <f t="shared" si="1"/>
        <v>#REF!</v>
      </c>
      <c r="H41" s="34" t="e">
        <f t="shared" si="1"/>
        <v>#REF!</v>
      </c>
      <c r="I41" s="34" t="e">
        <f t="shared" si="5"/>
        <v>#REF!</v>
      </c>
      <c r="J41" s="34" t="e">
        <f t="shared" si="5"/>
        <v>#REF!</v>
      </c>
      <c r="K41" s="34" t="e">
        <f t="shared" si="4"/>
        <v>#REF!</v>
      </c>
      <c r="L41" s="34" t="e">
        <f>+L11-L26</f>
        <v>#REF!</v>
      </c>
    </row>
    <row r="42" spans="1:12" ht="11.7" customHeight="1">
      <c r="A42" s="32" t="s">
        <v>22</v>
      </c>
      <c r="B42" s="34">
        <f t="shared" si="6"/>
        <v>705.80000000000018</v>
      </c>
      <c r="C42" s="34">
        <f t="shared" si="6"/>
        <v>441.72999999999956</v>
      </c>
      <c r="D42" s="34">
        <f t="shared" si="6"/>
        <v>806.27999999999975</v>
      </c>
      <c r="E42" s="34">
        <f t="shared" si="6"/>
        <v>754.21</v>
      </c>
      <c r="F42" s="34" t="e">
        <f>+F12-F27</f>
        <v>#REF!</v>
      </c>
      <c r="G42" s="34" t="e">
        <f t="shared" si="1"/>
        <v>#REF!</v>
      </c>
      <c r="H42" s="34" t="e">
        <f t="shared" si="1"/>
        <v>#REF!</v>
      </c>
      <c r="I42" s="34" t="e">
        <f t="shared" si="5"/>
        <v>#REF!</v>
      </c>
      <c r="J42" s="34" t="e">
        <f t="shared" si="5"/>
        <v>#REF!</v>
      </c>
      <c r="K42" s="34" t="e">
        <f t="shared" si="4"/>
        <v>#REF!</v>
      </c>
      <c r="L42" s="34" t="e">
        <f>+L12-L27</f>
        <v>#REF!</v>
      </c>
    </row>
    <row r="43" spans="1:12" ht="11.7" customHeight="1">
      <c r="A43" s="32" t="s">
        <v>25</v>
      </c>
      <c r="B43" s="34">
        <f t="shared" si="6"/>
        <v>317.02000000000044</v>
      </c>
      <c r="C43" s="34">
        <f t="shared" si="6"/>
        <v>380.23999999999978</v>
      </c>
      <c r="D43" s="34">
        <f t="shared" si="6"/>
        <v>516.47000000000025</v>
      </c>
      <c r="E43" s="34">
        <f t="shared" si="6"/>
        <v>430.18000000000029</v>
      </c>
      <c r="F43" s="34" t="e">
        <f>+F13-F28</f>
        <v>#REF!</v>
      </c>
      <c r="G43" s="34" t="e">
        <f t="shared" ref="G43:H45" si="7">+G13-G28</f>
        <v>#REF!</v>
      </c>
      <c r="H43" s="34" t="e">
        <f t="shared" si="7"/>
        <v>#REF!</v>
      </c>
      <c r="I43" s="34" t="e">
        <f t="shared" si="5"/>
        <v>#REF!</v>
      </c>
      <c r="J43" s="34" t="e">
        <f>+J13-J28</f>
        <v>#REF!</v>
      </c>
      <c r="K43" s="34" t="e">
        <f t="shared" si="4"/>
        <v>#REF!</v>
      </c>
      <c r="L43" s="34" t="e">
        <f>+L13-L28</f>
        <v>#REF!</v>
      </c>
    </row>
    <row r="44" spans="1:12" ht="11.7" customHeight="1">
      <c r="A44" s="32" t="s">
        <v>27</v>
      </c>
      <c r="B44" s="34">
        <f t="shared" si="6"/>
        <v>514.98999999999978</v>
      </c>
      <c r="C44" s="34">
        <f t="shared" si="6"/>
        <v>372.42000000000007</v>
      </c>
      <c r="D44" s="34">
        <f t="shared" si="6"/>
        <v>357.55000000000018</v>
      </c>
      <c r="E44" s="34">
        <f t="shared" si="6"/>
        <v>610.06999999999971</v>
      </c>
      <c r="F44" s="34" t="e">
        <f>+F14-F29</f>
        <v>#REF!</v>
      </c>
      <c r="G44" s="34" t="e">
        <f t="shared" si="7"/>
        <v>#REF!</v>
      </c>
      <c r="H44" s="34" t="e">
        <f t="shared" si="7"/>
        <v>#REF!</v>
      </c>
      <c r="I44" s="34" t="e">
        <f t="shared" si="5"/>
        <v>#REF!</v>
      </c>
      <c r="J44" s="34" t="e">
        <f>+J14-J29</f>
        <v>#REF!</v>
      </c>
      <c r="K44" s="34" t="e">
        <f t="shared" si="4"/>
        <v>#REF!</v>
      </c>
      <c r="L44" s="34" t="e">
        <f>+L14-L29</f>
        <v>#REF!</v>
      </c>
    </row>
    <row r="45" spans="1:12" ht="11.7" customHeight="1">
      <c r="A45" s="66" t="s">
        <v>29</v>
      </c>
      <c r="B45" s="67">
        <f t="shared" si="6"/>
        <v>720.64000000000033</v>
      </c>
      <c r="C45" s="67">
        <f t="shared" si="6"/>
        <v>639.8100000000004</v>
      </c>
      <c r="D45" s="67">
        <f t="shared" si="6"/>
        <v>476.76000000000022</v>
      </c>
      <c r="E45" s="67">
        <f t="shared" si="6"/>
        <v>-81.699999999999818</v>
      </c>
      <c r="F45" s="67" t="e">
        <f>+F15-F30</f>
        <v>#REF!</v>
      </c>
      <c r="G45" s="67" t="e">
        <f t="shared" si="7"/>
        <v>#REF!</v>
      </c>
      <c r="H45" s="67" t="e">
        <f t="shared" si="7"/>
        <v>#REF!</v>
      </c>
      <c r="I45" s="67" t="e">
        <f t="shared" si="5"/>
        <v>#REF!</v>
      </c>
      <c r="J45" s="67" t="e">
        <f>+J15-J30</f>
        <v>#REF!</v>
      </c>
      <c r="K45" s="67" t="e">
        <f t="shared" si="4"/>
        <v>#REF!</v>
      </c>
      <c r="L45" s="67" t="e">
        <f>+L15-L30</f>
        <v>#REF!</v>
      </c>
    </row>
  </sheetData>
  <phoneticPr fontId="0" type="noConversion"/>
  <printOptions horizontalCentered="1"/>
  <pageMargins left="0.47244094488188981" right="0.31496062992125984" top="0.39370078740157483" bottom="0" header="0" footer="0"/>
  <pageSetup paperSize="9" orientation="landscape" horizontalDpi="4294967292" r:id="rId1"/>
  <headerFooter alignWithMargins="0">
    <oddFooter>&amp;L
&amp;"DilleniaUPC,Regular"&amp;10ที่มา : ศูนย์สารสนเทศการค้าระหว่างประเทศ  โดยความร่วมมือของกรมศุลกากร&amp;R&amp;"DilleniaUPC,Regular"&amp;10
&amp;F กรมส่งเสริมการส่งออก &amp;D &amp;T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4:R40"/>
  <sheetViews>
    <sheetView workbookViewId="0"/>
  </sheetViews>
  <sheetFormatPr defaultColWidth="9" defaultRowHeight="19.8"/>
  <cols>
    <col min="13" max="13" width="9.375" bestFit="1" customWidth="1"/>
  </cols>
  <sheetData>
    <row r="4" spans="2:18">
      <c r="C4">
        <v>2535</v>
      </c>
      <c r="D4">
        <v>2536</v>
      </c>
      <c r="E4">
        <v>2537</v>
      </c>
      <c r="F4">
        <v>2538</v>
      </c>
      <c r="G4">
        <v>2539</v>
      </c>
      <c r="H4">
        <v>2540</v>
      </c>
      <c r="I4">
        <v>2541</v>
      </c>
      <c r="J4">
        <v>2542</v>
      </c>
      <c r="K4">
        <v>2543</v>
      </c>
      <c r="L4">
        <v>2544</v>
      </c>
    </row>
    <row r="5" spans="2:18">
      <c r="B5" t="s">
        <v>185</v>
      </c>
      <c r="H5" s="6" t="e">
        <f>+#REF!</f>
        <v>#REF!</v>
      </c>
      <c r="I5" s="6" t="e">
        <f>+#REF!</f>
        <v>#REF!</v>
      </c>
      <c r="J5" s="6" t="e">
        <f>+#REF!</f>
        <v>#REF!</v>
      </c>
      <c r="K5" s="6" t="e">
        <f>+#REF!</f>
        <v>#REF!</v>
      </c>
      <c r="L5" s="6" t="e">
        <f>+#REF!</f>
        <v>#REF!</v>
      </c>
    </row>
    <row r="6" spans="2:18">
      <c r="B6" t="s">
        <v>186</v>
      </c>
      <c r="H6" s="6" t="e">
        <f>+#REF!</f>
        <v>#REF!</v>
      </c>
      <c r="I6" s="6" t="e">
        <f>+#REF!</f>
        <v>#REF!</v>
      </c>
      <c r="J6" s="6" t="e">
        <f>+#REF!</f>
        <v>#REF!</v>
      </c>
      <c r="K6" s="6" t="e">
        <f>+#REF!</f>
        <v>#REF!</v>
      </c>
      <c r="L6" s="6" t="e">
        <f>+#REF!</f>
        <v>#REF!</v>
      </c>
    </row>
    <row r="7" spans="2:18">
      <c r="B7" t="s">
        <v>36</v>
      </c>
      <c r="H7" s="6" t="e">
        <f>+H5-H6</f>
        <v>#REF!</v>
      </c>
      <c r="I7" s="6" t="e">
        <f>+I5-I6</f>
        <v>#REF!</v>
      </c>
      <c r="J7" s="6" t="e">
        <f>+J5-J6</f>
        <v>#REF!</v>
      </c>
      <c r="K7" s="6" t="e">
        <f>+K5-K6</f>
        <v>#REF!</v>
      </c>
      <c r="L7" s="6" t="e">
        <f>+L5-L6</f>
        <v>#REF!</v>
      </c>
    </row>
    <row r="10" spans="2:18">
      <c r="C10" t="s">
        <v>187</v>
      </c>
      <c r="D10" t="s">
        <v>188</v>
      </c>
      <c r="E10" t="s">
        <v>189</v>
      </c>
      <c r="I10">
        <v>43</v>
      </c>
      <c r="J10">
        <v>44</v>
      </c>
      <c r="K10">
        <v>45</v>
      </c>
      <c r="L10">
        <v>46</v>
      </c>
      <c r="M10" t="s">
        <v>190</v>
      </c>
    </row>
    <row r="11" spans="2:18">
      <c r="B11" s="16" t="s">
        <v>191</v>
      </c>
      <c r="C11" s="26">
        <v>5302.87</v>
      </c>
      <c r="D11" s="26">
        <v>4120.25</v>
      </c>
      <c r="E11" s="23">
        <f>+C11-D11</f>
        <v>1182.6199999999999</v>
      </c>
      <c r="H11" s="16" t="s">
        <v>4</v>
      </c>
      <c r="I11" s="28">
        <v>5302.87</v>
      </c>
      <c r="J11" s="28">
        <v>5187.21</v>
      </c>
      <c r="K11" s="28" t="e">
        <f>+#REF!</f>
        <v>#REF!</v>
      </c>
      <c r="L11" s="29" t="e">
        <f t="shared" ref="L11:L22" si="0">(R11*L$24)/100</f>
        <v>#REF!</v>
      </c>
      <c r="M11" s="30" t="e">
        <f>+#REF!</f>
        <v>#REF!</v>
      </c>
      <c r="O11" s="24">
        <f>(I11/I$23)*100</f>
        <v>7.6164134789837563</v>
      </c>
      <c r="P11" s="24">
        <f t="shared" ref="P11:P22" si="1">(J11/J$23)*100</f>
        <v>7.9578940585917843</v>
      </c>
      <c r="Q11" s="24" t="e">
        <f t="shared" ref="Q11:Q22" si="2">(K11/K$23)*100</f>
        <v>#REF!</v>
      </c>
      <c r="R11" s="24" t="e">
        <f>AVERAGE(O11:Q11)</f>
        <v>#REF!</v>
      </c>
    </row>
    <row r="12" spans="2:18">
      <c r="B12" s="16" t="s">
        <v>5</v>
      </c>
      <c r="C12" s="26">
        <v>5406.06</v>
      </c>
      <c r="D12" s="26">
        <v>4992.47</v>
      </c>
      <c r="E12" s="23">
        <f t="shared" ref="E12:E40" si="3">+C12-D12</f>
        <v>413.59000000000015</v>
      </c>
      <c r="H12" s="16" t="s">
        <v>5</v>
      </c>
      <c r="I12" s="28">
        <v>5406.06</v>
      </c>
      <c r="J12" s="28">
        <v>5261.08</v>
      </c>
      <c r="K12" s="28" t="e">
        <f>+#REF!</f>
        <v>#REF!</v>
      </c>
      <c r="L12" s="29" t="e">
        <f t="shared" si="0"/>
        <v>#REF!</v>
      </c>
      <c r="M12" s="30" t="e">
        <f>+#REF!</f>
        <v>#REF!</v>
      </c>
      <c r="O12" s="24">
        <f t="shared" ref="O12:O22" si="4">(I12/I$23)*100</f>
        <v>7.7646233553141846</v>
      </c>
      <c r="P12" s="24">
        <f t="shared" si="1"/>
        <v>8.0712208053608911</v>
      </c>
      <c r="Q12" s="24" t="e">
        <f t="shared" si="2"/>
        <v>#REF!</v>
      </c>
      <c r="R12" s="24" t="e">
        <f t="shared" ref="R12:R22" si="5">AVERAGE(O12:Q12)</f>
        <v>#REF!</v>
      </c>
    </row>
    <row r="13" spans="2:18">
      <c r="B13" s="16" t="s">
        <v>7</v>
      </c>
      <c r="C13" s="26">
        <v>5839.43</v>
      </c>
      <c r="D13" s="26">
        <v>4768.04</v>
      </c>
      <c r="E13" s="23">
        <f t="shared" si="3"/>
        <v>1071.3900000000003</v>
      </c>
      <c r="H13" s="16" t="s">
        <v>7</v>
      </c>
      <c r="I13" s="28">
        <v>5839.43</v>
      </c>
      <c r="J13" s="28">
        <v>6066.98</v>
      </c>
      <c r="K13" s="28" t="e">
        <f>+#REF!</f>
        <v>#REF!</v>
      </c>
      <c r="L13" s="29" t="e">
        <f t="shared" si="0"/>
        <v>#REF!</v>
      </c>
      <c r="M13" s="30" t="e">
        <f>+#REF!</f>
        <v>#REF!</v>
      </c>
      <c r="O13" s="24">
        <f t="shared" si="4"/>
        <v>8.3870646200231427</v>
      </c>
      <c r="P13" s="24">
        <f t="shared" si="1"/>
        <v>9.3075823218252562</v>
      </c>
      <c r="Q13" s="24" t="e">
        <f t="shared" si="2"/>
        <v>#REF!</v>
      </c>
      <c r="R13" s="24" t="e">
        <f t="shared" si="5"/>
        <v>#REF!</v>
      </c>
    </row>
    <row r="14" spans="2:18">
      <c r="B14" s="16" t="s">
        <v>10</v>
      </c>
      <c r="C14" s="26">
        <v>5248.8</v>
      </c>
      <c r="D14" s="26">
        <v>4754.07</v>
      </c>
      <c r="E14" s="23">
        <f t="shared" si="3"/>
        <v>494.73000000000047</v>
      </c>
      <c r="H14" s="16" t="s">
        <v>10</v>
      </c>
      <c r="I14" s="28">
        <v>5248.8</v>
      </c>
      <c r="J14" s="28">
        <v>4893.8599999999997</v>
      </c>
      <c r="K14" s="28" t="e">
        <f>+#REF!</f>
        <v>#REF!</v>
      </c>
      <c r="L14" s="29" t="e">
        <f t="shared" si="0"/>
        <v>#REF!</v>
      </c>
      <c r="M14" s="8"/>
      <c r="O14" s="24">
        <f t="shared" si="4"/>
        <v>7.5387537443855779</v>
      </c>
      <c r="P14" s="24">
        <f t="shared" si="1"/>
        <v>7.5078547846684422</v>
      </c>
      <c r="Q14" s="24" t="e">
        <f t="shared" si="2"/>
        <v>#REF!</v>
      </c>
      <c r="R14" s="24" t="e">
        <f t="shared" si="5"/>
        <v>#REF!</v>
      </c>
    </row>
    <row r="15" spans="2:18">
      <c r="B15" s="16" t="s">
        <v>12</v>
      </c>
      <c r="C15" s="26">
        <v>5303.15</v>
      </c>
      <c r="D15" s="26">
        <v>4702.3599999999997</v>
      </c>
      <c r="E15" s="23">
        <f t="shared" si="3"/>
        <v>600.79</v>
      </c>
      <c r="H15" s="16" t="s">
        <v>12</v>
      </c>
      <c r="I15" s="28">
        <v>5303.15</v>
      </c>
      <c r="J15" s="28">
        <v>5751.45</v>
      </c>
      <c r="K15" s="28" t="e">
        <f>+#REF!</f>
        <v>#REF!</v>
      </c>
      <c r="L15" s="29" t="e">
        <f t="shared" si="0"/>
        <v>#REF!</v>
      </c>
      <c r="M15" s="8"/>
      <c r="O15" s="24">
        <f t="shared" si="4"/>
        <v>7.6168156377721328</v>
      </c>
      <c r="P15" s="24">
        <f t="shared" si="1"/>
        <v>8.8235158752562004</v>
      </c>
      <c r="Q15" s="24" t="e">
        <f t="shared" si="2"/>
        <v>#REF!</v>
      </c>
      <c r="R15" s="24" t="e">
        <f t="shared" si="5"/>
        <v>#REF!</v>
      </c>
    </row>
    <row r="16" spans="2:18">
      <c r="B16" s="16" t="s">
        <v>14</v>
      </c>
      <c r="C16" s="26">
        <v>5574.4</v>
      </c>
      <c r="D16" s="26">
        <v>5473.05</v>
      </c>
      <c r="E16" s="23">
        <f t="shared" si="3"/>
        <v>101.34999999999945</v>
      </c>
      <c r="H16" s="16" t="s">
        <v>14</v>
      </c>
      <c r="I16" s="28">
        <v>5574.4</v>
      </c>
      <c r="J16" s="28">
        <v>5559.23</v>
      </c>
      <c r="K16" s="28" t="e">
        <f>+#REF!</f>
        <v>#REF!</v>
      </c>
      <c r="L16" s="29" t="e">
        <f t="shared" si="0"/>
        <v>#REF!</v>
      </c>
      <c r="M16" s="8"/>
      <c r="O16" s="24">
        <f t="shared" si="4"/>
        <v>8.0064069640113846</v>
      </c>
      <c r="P16" s="24">
        <f t="shared" si="1"/>
        <v>8.5286239399108972</v>
      </c>
      <c r="Q16" s="24" t="e">
        <f t="shared" si="2"/>
        <v>#REF!</v>
      </c>
      <c r="R16" s="24" t="e">
        <f t="shared" si="5"/>
        <v>#REF!</v>
      </c>
    </row>
    <row r="17" spans="2:18">
      <c r="B17" s="16" t="s">
        <v>17</v>
      </c>
      <c r="C17" s="26">
        <v>6135.21</v>
      </c>
      <c r="D17" s="26">
        <v>5260.61</v>
      </c>
      <c r="E17" s="23">
        <f t="shared" si="3"/>
        <v>874.60000000000036</v>
      </c>
      <c r="H17" s="16" t="s">
        <v>17</v>
      </c>
      <c r="I17" s="28">
        <v>6135.21</v>
      </c>
      <c r="J17" s="28">
        <v>5320.16</v>
      </c>
      <c r="K17" s="8" t="e">
        <f>+#REF!</f>
        <v>#REF!</v>
      </c>
      <c r="L17" s="29" t="e">
        <f t="shared" si="0"/>
        <v>#REF!</v>
      </c>
      <c r="M17" s="8"/>
      <c r="O17" s="24">
        <f t="shared" si="4"/>
        <v>8.8118879286869074</v>
      </c>
      <c r="P17" s="24">
        <f t="shared" si="1"/>
        <v>8.161857656574087</v>
      </c>
      <c r="Q17" s="24" t="e">
        <f t="shared" si="2"/>
        <v>#REF!</v>
      </c>
      <c r="R17" s="24" t="e">
        <f t="shared" si="5"/>
        <v>#REF!</v>
      </c>
    </row>
    <row r="18" spans="2:18">
      <c r="B18" s="16" t="s">
        <v>20</v>
      </c>
      <c r="C18" s="26">
        <v>6279.37</v>
      </c>
      <c r="D18" s="26">
        <v>5833.03</v>
      </c>
      <c r="E18" s="23">
        <f t="shared" si="3"/>
        <v>446.34000000000015</v>
      </c>
      <c r="F18" s="26"/>
      <c r="H18" s="16" t="s">
        <v>20</v>
      </c>
      <c r="I18" s="28">
        <v>6279.37</v>
      </c>
      <c r="J18" s="28">
        <v>5742.2</v>
      </c>
      <c r="K18" s="8" t="e">
        <f>+#REF!</f>
        <v>#REF!</v>
      </c>
      <c r="L18" s="29" t="e">
        <f t="shared" si="0"/>
        <v>#REF!</v>
      </c>
      <c r="M18" s="8"/>
      <c r="O18" s="24">
        <f t="shared" si="4"/>
        <v>9.0189422534450649</v>
      </c>
      <c r="P18" s="24">
        <f t="shared" si="1"/>
        <v>8.8093251021735668</v>
      </c>
      <c r="Q18" s="24" t="e">
        <f t="shared" si="2"/>
        <v>#REF!</v>
      </c>
      <c r="R18" s="24" t="e">
        <f t="shared" si="5"/>
        <v>#REF!</v>
      </c>
    </row>
    <row r="19" spans="2:18">
      <c r="B19" s="16" t="s">
        <v>22</v>
      </c>
      <c r="C19" s="26">
        <v>6089.38</v>
      </c>
      <c r="D19" s="26">
        <v>5383.58</v>
      </c>
      <c r="E19" s="23">
        <f t="shared" si="3"/>
        <v>705.80000000000018</v>
      </c>
      <c r="F19" s="26"/>
      <c r="H19" s="16" t="s">
        <v>22</v>
      </c>
      <c r="I19" s="28">
        <v>6089.38</v>
      </c>
      <c r="J19" s="28">
        <v>5490.8</v>
      </c>
      <c r="K19" s="8" t="e">
        <f>+#REF!</f>
        <v>#REF!</v>
      </c>
      <c r="L19" s="29" t="e">
        <f t="shared" si="0"/>
        <v>#REF!</v>
      </c>
      <c r="M19" s="8"/>
      <c r="O19" s="24">
        <f t="shared" si="4"/>
        <v>8.7460631527180777</v>
      </c>
      <c r="P19" s="24">
        <f t="shared" si="1"/>
        <v>8.4236429018520109</v>
      </c>
      <c r="Q19" s="24" t="e">
        <f t="shared" si="2"/>
        <v>#REF!</v>
      </c>
      <c r="R19" s="24" t="e">
        <f t="shared" si="5"/>
        <v>#REF!</v>
      </c>
    </row>
    <row r="20" spans="2:18">
      <c r="B20" s="16" t="s">
        <v>25</v>
      </c>
      <c r="C20" s="26">
        <v>6309.06</v>
      </c>
      <c r="D20" s="26">
        <v>5992.04</v>
      </c>
      <c r="E20" s="23">
        <f t="shared" si="3"/>
        <v>317.02000000000044</v>
      </c>
      <c r="F20" s="26"/>
      <c r="H20" s="16" t="s">
        <v>25</v>
      </c>
      <c r="I20" s="28">
        <v>6309.06</v>
      </c>
      <c r="J20" s="28">
        <v>5435.96</v>
      </c>
      <c r="K20" s="28" t="e">
        <f>+#REF!</f>
        <v>#REF!</v>
      </c>
      <c r="L20" s="29" t="e">
        <f t="shared" si="0"/>
        <v>#REF!</v>
      </c>
      <c r="M20" s="8"/>
      <c r="O20" s="24">
        <f t="shared" si="4"/>
        <v>9.0615854478267934</v>
      </c>
      <c r="P20" s="24">
        <f t="shared" si="1"/>
        <v>8.3395107941923694</v>
      </c>
      <c r="Q20" s="24" t="e">
        <f t="shared" si="2"/>
        <v>#REF!</v>
      </c>
      <c r="R20" s="24" t="e">
        <f t="shared" si="5"/>
        <v>#REF!</v>
      </c>
    </row>
    <row r="21" spans="2:18">
      <c r="B21" s="16" t="s">
        <v>27</v>
      </c>
      <c r="C21" s="26">
        <v>6219.54</v>
      </c>
      <c r="D21" s="26">
        <v>5704.55</v>
      </c>
      <c r="E21" s="23">
        <f t="shared" si="3"/>
        <v>514.98999999999978</v>
      </c>
      <c r="F21" s="26"/>
      <c r="H21" s="16" t="s">
        <v>27</v>
      </c>
      <c r="I21" s="28">
        <v>6219.54</v>
      </c>
      <c r="J21" s="28">
        <v>5441.04</v>
      </c>
      <c r="K21" s="28" t="e">
        <f>+#REF!</f>
        <v>#REF!</v>
      </c>
      <c r="L21" s="29" t="e">
        <f t="shared" si="0"/>
        <v>#REF!</v>
      </c>
      <c r="M21" s="8"/>
      <c r="O21" s="24">
        <f t="shared" si="4"/>
        <v>8.933009538057437</v>
      </c>
      <c r="P21" s="24">
        <f t="shared" si="1"/>
        <v>8.3473042133555886</v>
      </c>
      <c r="Q21" s="24" t="e">
        <f t="shared" si="2"/>
        <v>#REF!</v>
      </c>
      <c r="R21" s="24" t="e">
        <f t="shared" si="5"/>
        <v>#REF!</v>
      </c>
    </row>
    <row r="22" spans="2:18">
      <c r="B22" s="16" t="s">
        <v>29</v>
      </c>
      <c r="C22" s="26">
        <v>5916.97</v>
      </c>
      <c r="D22" s="26">
        <v>5196.33</v>
      </c>
      <c r="E22" s="23">
        <f t="shared" si="3"/>
        <v>720.64000000000033</v>
      </c>
      <c r="F22" s="26"/>
      <c r="H22" s="16" t="s">
        <v>29</v>
      </c>
      <c r="I22" s="28">
        <v>5916.97</v>
      </c>
      <c r="J22" s="28">
        <v>5033.2299999999996</v>
      </c>
      <c r="K22" s="28" t="e">
        <f>+#REF!</f>
        <v>#REF!</v>
      </c>
      <c r="L22" s="29" t="e">
        <f t="shared" si="0"/>
        <v>#REF!</v>
      </c>
      <c r="M22" s="8"/>
      <c r="O22" s="24">
        <f t="shared" si="4"/>
        <v>8.498433878775554</v>
      </c>
      <c r="P22" s="24">
        <f t="shared" si="1"/>
        <v>7.7216675462389084</v>
      </c>
      <c r="Q22" s="24" t="e">
        <f t="shared" si="2"/>
        <v>#REF!</v>
      </c>
      <c r="R22" s="24" t="e">
        <f t="shared" si="5"/>
        <v>#REF!</v>
      </c>
    </row>
    <row r="23" spans="2:18">
      <c r="B23" s="16" t="s">
        <v>192</v>
      </c>
      <c r="C23" s="26">
        <v>5187.21</v>
      </c>
      <c r="D23" s="26">
        <v>5556.5</v>
      </c>
      <c r="E23" s="23">
        <f t="shared" si="3"/>
        <v>-369.28999999999996</v>
      </c>
      <c r="H23" s="16"/>
      <c r="I23" s="9">
        <f>SUM(I11:I22)</f>
        <v>69624.239999999991</v>
      </c>
      <c r="J23" s="9">
        <f>SUM(J11:J22)</f>
        <v>65183.199999999997</v>
      </c>
      <c r="K23" s="9" t="e">
        <f>SUM(K11:K22)</f>
        <v>#REF!</v>
      </c>
      <c r="L23" s="29" t="e">
        <f>SUM(L11:L22)</f>
        <v>#REF!</v>
      </c>
      <c r="M23" s="8"/>
      <c r="O23" s="24">
        <f>SUM(O11:O22)</f>
        <v>100</v>
      </c>
      <c r="P23" s="24">
        <f>SUM(P11:P22)</f>
        <v>99.999999999999986</v>
      </c>
      <c r="Q23" s="24" t="e">
        <f>SUM(Q11:Q22)</f>
        <v>#REF!</v>
      </c>
      <c r="R23" s="24" t="e">
        <f>SUM(R11:R22)</f>
        <v>#REF!</v>
      </c>
    </row>
    <row r="24" spans="2:18">
      <c r="B24" s="16" t="s">
        <v>5</v>
      </c>
      <c r="C24" s="26">
        <v>5261.08</v>
      </c>
      <c r="D24" s="26">
        <v>5205.74</v>
      </c>
      <c r="E24" s="23">
        <f t="shared" si="3"/>
        <v>55.340000000000146</v>
      </c>
      <c r="H24" s="16"/>
      <c r="L24" s="27" t="e">
        <f>+K23*1.055</f>
        <v>#REF!</v>
      </c>
      <c r="M24" t="e">
        <f>((L24/K23)-1)*100</f>
        <v>#REF!</v>
      </c>
    </row>
    <row r="25" spans="2:18">
      <c r="B25" s="16" t="s">
        <v>7</v>
      </c>
      <c r="C25" s="26">
        <v>6066.98</v>
      </c>
      <c r="D25" s="26">
        <v>5764.54</v>
      </c>
      <c r="E25" s="23">
        <f t="shared" si="3"/>
        <v>302.4399999999996</v>
      </c>
      <c r="H25" s="16"/>
    </row>
    <row r="26" spans="2:18">
      <c r="B26" s="16" t="s">
        <v>10</v>
      </c>
      <c r="C26" s="26">
        <v>4893.8599999999997</v>
      </c>
      <c r="D26" s="26">
        <v>4894.16</v>
      </c>
      <c r="E26" s="23">
        <f t="shared" si="3"/>
        <v>-0.3000000000001819</v>
      </c>
      <c r="H26" s="16"/>
    </row>
    <row r="27" spans="2:18">
      <c r="B27" s="16" t="s">
        <v>12</v>
      </c>
      <c r="C27" s="26">
        <v>5751.45</v>
      </c>
      <c r="D27" s="26">
        <v>5327.61</v>
      </c>
      <c r="E27" s="23">
        <f t="shared" si="3"/>
        <v>423.84000000000015</v>
      </c>
      <c r="H27" s="16"/>
    </row>
    <row r="28" spans="2:18">
      <c r="B28" s="16" t="s">
        <v>14</v>
      </c>
      <c r="C28" s="26">
        <v>5559.23</v>
      </c>
      <c r="D28" s="26">
        <v>4845.03</v>
      </c>
      <c r="E28" s="23">
        <f t="shared" si="3"/>
        <v>714.19999999999982</v>
      </c>
      <c r="H28" s="16"/>
    </row>
    <row r="29" spans="2:18">
      <c r="B29" s="16" t="s">
        <v>17</v>
      </c>
      <c r="C29" s="26">
        <v>5320.16</v>
      </c>
      <c r="D29" s="26">
        <v>5458.84</v>
      </c>
      <c r="E29" s="23">
        <f t="shared" si="3"/>
        <v>-138.68000000000029</v>
      </c>
      <c r="H29" s="16"/>
    </row>
    <row r="30" spans="2:18">
      <c r="B30" s="16" t="s">
        <v>20</v>
      </c>
      <c r="C30" s="26">
        <v>5742.2</v>
      </c>
      <c r="D30" s="26">
        <v>5109.8900000000003</v>
      </c>
      <c r="E30" s="23">
        <f t="shared" si="3"/>
        <v>632.30999999999949</v>
      </c>
      <c r="H30" s="16"/>
    </row>
    <row r="31" spans="2:18">
      <c r="B31" s="16" t="s">
        <v>22</v>
      </c>
      <c r="C31" s="26">
        <v>5490.8</v>
      </c>
      <c r="D31" s="26">
        <v>5049.1000000000004</v>
      </c>
      <c r="E31" s="23">
        <f t="shared" si="3"/>
        <v>441.69999999999982</v>
      </c>
      <c r="H31" s="16"/>
    </row>
    <row r="32" spans="2:18">
      <c r="B32" s="16" t="s">
        <v>25</v>
      </c>
      <c r="C32" s="26">
        <v>5435.96</v>
      </c>
      <c r="D32" s="26">
        <v>5055.74</v>
      </c>
      <c r="E32" s="23">
        <f t="shared" si="3"/>
        <v>380.22000000000025</v>
      </c>
      <c r="H32" s="16"/>
    </row>
    <row r="33" spans="2:5">
      <c r="B33" s="16" t="s">
        <v>27</v>
      </c>
      <c r="C33" s="26">
        <v>5441.04</v>
      </c>
      <c r="D33" s="26">
        <v>5134.68</v>
      </c>
      <c r="E33" s="23">
        <f t="shared" si="3"/>
        <v>306.35999999999967</v>
      </c>
    </row>
    <row r="34" spans="2:5">
      <c r="B34" s="16" t="s">
        <v>29</v>
      </c>
      <c r="C34" s="26">
        <v>5033.2299999999996</v>
      </c>
      <c r="D34" s="26">
        <v>4393.37</v>
      </c>
      <c r="E34" s="23">
        <f t="shared" si="3"/>
        <v>639.85999999999967</v>
      </c>
    </row>
    <row r="35" spans="2:5">
      <c r="B35" s="16" t="s">
        <v>172</v>
      </c>
      <c r="C35" s="26">
        <v>4870.42</v>
      </c>
      <c r="D35" s="26">
        <v>5002.12</v>
      </c>
      <c r="E35" s="23">
        <f t="shared" si="3"/>
        <v>-131.69999999999982</v>
      </c>
    </row>
    <row r="36" spans="2:5">
      <c r="B36" s="16" t="s">
        <v>5</v>
      </c>
      <c r="C36" s="26">
        <v>4863.66</v>
      </c>
      <c r="D36" s="26">
        <v>4358.5</v>
      </c>
      <c r="E36" s="23">
        <f t="shared" si="3"/>
        <v>505.15999999999985</v>
      </c>
    </row>
    <row r="37" spans="2:5">
      <c r="B37" s="16" t="s">
        <v>7</v>
      </c>
      <c r="C37" s="26">
        <v>5718.8</v>
      </c>
      <c r="D37" s="26">
        <v>5270.2</v>
      </c>
      <c r="E37" s="23">
        <f t="shared" si="3"/>
        <v>448.60000000000036</v>
      </c>
    </row>
    <row r="38" spans="2:5">
      <c r="B38" s="16" t="s">
        <v>10</v>
      </c>
      <c r="C38" s="26">
        <v>4919.82</v>
      </c>
      <c r="D38" s="26">
        <v>5164.3999999999996</v>
      </c>
      <c r="E38" s="23">
        <f t="shared" si="3"/>
        <v>-244.57999999999993</v>
      </c>
    </row>
    <row r="39" spans="2:5">
      <c r="B39" s="16" t="s">
        <v>12</v>
      </c>
      <c r="C39" s="26">
        <v>5935.62</v>
      </c>
      <c r="D39" s="26">
        <v>5284.72</v>
      </c>
      <c r="E39" s="23">
        <f t="shared" si="3"/>
        <v>650.89999999999964</v>
      </c>
    </row>
    <row r="40" spans="2:5">
      <c r="B40" s="16" t="s">
        <v>14</v>
      </c>
      <c r="C40" s="26">
        <v>5895.23</v>
      </c>
      <c r="D40" s="26">
        <v>5316.34</v>
      </c>
      <c r="E40" s="23">
        <f t="shared" si="3"/>
        <v>578.88999999999942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trade (2)</vt:lpstr>
      <vt:lpstr>2.3 ตารางสถิติ ต.ค. 68 Export</vt:lpstr>
      <vt:lpstr>T3_data(t)</vt:lpstr>
      <vt:lpstr>T3_data(t-1)</vt:lpstr>
      <vt:lpstr>ประมาณ54US</vt:lpstr>
      <vt:lpstr>Sheet2</vt:lpstr>
      <vt:lpstr>Gtrade47</vt:lpstr>
      <vt:lpstr>trade g</vt:lpstr>
      <vt:lpstr>Sheet1</vt:lpstr>
      <vt:lpstr>ประมาณ5455US</vt:lpstr>
      <vt:lpstr>ประมาณ54US_SEP</vt:lpstr>
      <vt:lpstr>Chart3</vt:lpstr>
      <vt:lpstr>xmm4954</vt:lpstr>
      <vt:lpstr>Chart1</vt:lpstr>
      <vt:lpstr>'2.3 ตารางสถิติ ต.ค. 68 Export'!Print_Area</vt:lpstr>
      <vt:lpstr>'trade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Wasinee Y</dc:creator>
  <cp:keywords/>
  <dc:description/>
  <cp:lastModifiedBy>Supakit Srirang</cp:lastModifiedBy>
  <cp:revision/>
  <cp:lastPrinted>2025-11-17T07:45:47Z</cp:lastPrinted>
  <dcterms:created xsi:type="dcterms:W3CDTF">2000-06-22T13:10:24Z</dcterms:created>
  <dcterms:modified xsi:type="dcterms:W3CDTF">2025-11-25T02:18:26Z</dcterms:modified>
  <cp:category/>
  <cp:contentStatus/>
</cp:coreProperties>
</file>